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avey\Documents\US Presence Project\Data for JOGSS Online\"/>
    </mc:Choice>
  </mc:AlternateContent>
  <bookViews>
    <workbookView xWindow="0" yWindow="0" windowWidth="28800" windowHeight="12450"/>
  </bookViews>
  <sheets>
    <sheet name="Fig 1 and 2" sheetId="5" r:id="rId1"/>
    <sheet name="Fig 3 and 4" sheetId="13" r:id="rId2"/>
    <sheet name="Table 1" sheetId="8" r:id="rId3"/>
    <sheet name="Table 2" sheetId="19" r:id="rId4"/>
    <sheet name="Dyadic MIDs" sheetId="10" r:id="rId5"/>
    <sheet name="MIDs per Year" sheetId="12" r:id="rId6"/>
    <sheet name="Appendix Table 1" sheetId="15" r:id="rId7"/>
    <sheet name="Appendix Figures 1 and 2" sheetId="16" r:id="rId8"/>
    <sheet name="Appendix Figures 3 and 4" sheetId="18" r:id="rId9"/>
  </sheets>
  <externalReferences>
    <externalReference r:id="rId10"/>
  </externalReferences>
  <calcPr calcId="162913"/>
</workbook>
</file>

<file path=xl/calcChain.xml><?xml version="1.0" encoding="utf-8"?>
<calcChain xmlns="http://schemas.openxmlformats.org/spreadsheetml/2006/main">
  <c r="M77" i="5" l="1"/>
  <c r="M76" i="5"/>
  <c r="M75" i="5"/>
  <c r="M74" i="5"/>
  <c r="M73" i="5"/>
  <c r="M72" i="5"/>
  <c r="R56" i="13" l="1"/>
  <c r="S56" i="13"/>
  <c r="R57" i="13"/>
  <c r="S57" i="13"/>
  <c r="O57" i="5"/>
  <c r="P57" i="5"/>
  <c r="O58" i="5"/>
  <c r="P58" i="5"/>
  <c r="H11" i="16" l="1"/>
  <c r="G11" i="16"/>
  <c r="F11" i="16"/>
  <c r="H10" i="16"/>
  <c r="G10" i="16"/>
  <c r="F10" i="16"/>
  <c r="H9" i="16"/>
  <c r="G9" i="16"/>
  <c r="F9" i="16"/>
  <c r="H8" i="16"/>
  <c r="G8" i="16"/>
  <c r="F8" i="16"/>
  <c r="H7" i="16"/>
  <c r="G7" i="16"/>
  <c r="F7" i="16"/>
  <c r="H6" i="16"/>
  <c r="G6" i="16"/>
  <c r="F6" i="16"/>
  <c r="H5" i="16"/>
  <c r="G5" i="16"/>
  <c r="F5" i="16"/>
  <c r="H3" i="16"/>
  <c r="G3" i="16"/>
  <c r="H4" i="16"/>
  <c r="G4" i="16"/>
  <c r="I4" i="16" s="1"/>
  <c r="F4" i="16"/>
  <c r="Q4" i="16"/>
  <c r="Q5" i="16"/>
  <c r="Q6" i="16"/>
  <c r="Q7" i="16"/>
  <c r="Q8" i="16"/>
  <c r="Q9" i="16"/>
  <c r="Q10" i="16"/>
  <c r="Q11" i="16"/>
  <c r="M4" i="16"/>
  <c r="M5" i="16"/>
  <c r="M6" i="16"/>
  <c r="M7" i="16"/>
  <c r="M8" i="16"/>
  <c r="M9" i="16"/>
  <c r="M10" i="16"/>
  <c r="M11" i="16"/>
  <c r="I6" i="16"/>
  <c r="I10" i="16"/>
  <c r="Q3" i="16"/>
  <c r="M3" i="16"/>
  <c r="F3" i="16"/>
  <c r="E4" i="16"/>
  <c r="E5" i="16"/>
  <c r="E6" i="16"/>
  <c r="E7" i="16"/>
  <c r="E8" i="16"/>
  <c r="E9" i="16"/>
  <c r="E10" i="16"/>
  <c r="E11" i="16"/>
  <c r="E3" i="16"/>
  <c r="I7" i="16" l="1"/>
  <c r="I5" i="16"/>
  <c r="I8" i="16"/>
  <c r="I11" i="16"/>
  <c r="I9" i="16"/>
  <c r="I3" i="16"/>
  <c r="D77" i="8"/>
  <c r="D76" i="8"/>
  <c r="D78" i="8"/>
  <c r="C78" i="8"/>
  <c r="C77" i="8"/>
  <c r="C76" i="8"/>
  <c r="D75" i="8"/>
  <c r="D74" i="8"/>
  <c r="C75" i="8"/>
  <c r="C74" i="8"/>
  <c r="C73" i="8"/>
  <c r="C51" i="8"/>
  <c r="C50" i="8"/>
  <c r="C49" i="8"/>
  <c r="C48" i="8"/>
  <c r="C47" i="8"/>
  <c r="C46" i="8"/>
  <c r="C44" i="8"/>
  <c r="C43" i="8"/>
  <c r="C42" i="8"/>
  <c r="C41" i="8"/>
  <c r="C40" i="8"/>
  <c r="C39" i="8"/>
  <c r="C38" i="8"/>
  <c r="C37" i="8"/>
  <c r="C36" i="8"/>
  <c r="C35" i="8"/>
  <c r="C34" i="8"/>
  <c r="C33" i="8"/>
  <c r="C32" i="8"/>
  <c r="C31" i="8"/>
  <c r="C30" i="8"/>
  <c r="C29" i="8"/>
  <c r="C27" i="8"/>
  <c r="C26" i="8"/>
  <c r="C25" i="8"/>
  <c r="C24" i="8"/>
  <c r="C23" i="8"/>
  <c r="C21" i="8"/>
  <c r="C20" i="8"/>
  <c r="C19" i="8"/>
  <c r="C18" i="8"/>
  <c r="C17" i="8"/>
  <c r="C16" i="8"/>
  <c r="C15" i="8"/>
  <c r="C14" i="8"/>
  <c r="D90" i="13" l="1"/>
  <c r="D89" i="13"/>
  <c r="D88" i="13"/>
  <c r="C90" i="13"/>
  <c r="C89" i="13"/>
  <c r="C88" i="13"/>
  <c r="D84" i="13"/>
  <c r="D83" i="13"/>
  <c r="D82" i="13"/>
  <c r="D80" i="13"/>
  <c r="D79" i="13"/>
  <c r="C79" i="13"/>
  <c r="B75" i="13"/>
  <c r="B74" i="13"/>
  <c r="B73" i="13"/>
  <c r="B72" i="13"/>
  <c r="B71" i="13"/>
  <c r="U58" i="13"/>
  <c r="AD57" i="13"/>
  <c r="AC57" i="13"/>
  <c r="AA57" i="13"/>
  <c r="X57" i="13"/>
  <c r="W57" i="13"/>
  <c r="AA56" i="13"/>
  <c r="AA55" i="13"/>
  <c r="AA54" i="13"/>
  <c r="AA53" i="13"/>
  <c r="AA52" i="13"/>
  <c r="X52" i="13"/>
  <c r="W52" i="13"/>
  <c r="AA51" i="13"/>
  <c r="X51" i="13"/>
  <c r="W51" i="13"/>
  <c r="AA50" i="13"/>
  <c r="X50" i="13"/>
  <c r="C82" i="13" s="1"/>
  <c r="W50" i="13"/>
  <c r="AA49" i="13"/>
  <c r="X49" i="13"/>
  <c r="W49" i="13"/>
  <c r="AA48" i="13"/>
  <c r="X48" i="13"/>
  <c r="W48" i="13"/>
  <c r="AD47" i="13"/>
  <c r="AC47" i="13"/>
  <c r="AA47" i="13"/>
  <c r="X47" i="13"/>
  <c r="W47" i="13"/>
  <c r="AA46" i="13"/>
  <c r="X46" i="13"/>
  <c r="W46" i="13"/>
  <c r="AA45" i="13"/>
  <c r="AD44" i="13"/>
  <c r="AC44" i="13"/>
  <c r="AA44" i="13"/>
  <c r="X44" i="13"/>
  <c r="W44" i="13"/>
  <c r="AA43" i="13"/>
  <c r="AA42" i="13"/>
  <c r="AA41" i="13"/>
  <c r="X41" i="13"/>
  <c r="W41" i="13"/>
  <c r="AD40" i="13"/>
  <c r="AC40" i="13"/>
  <c r="AA40" i="13"/>
  <c r="X40" i="13"/>
  <c r="W40" i="13"/>
  <c r="AA39" i="13"/>
  <c r="AA38" i="13"/>
  <c r="AA37" i="13"/>
  <c r="AA36" i="13"/>
  <c r="AA35" i="13"/>
  <c r="AA34" i="13"/>
  <c r="AD33" i="13"/>
  <c r="AC33" i="13"/>
  <c r="AA33" i="13"/>
  <c r="X33" i="13"/>
  <c r="W33" i="13"/>
  <c r="AD32" i="13"/>
  <c r="AC32" i="13"/>
  <c r="AA32" i="13"/>
  <c r="X32" i="13"/>
  <c r="W32" i="13"/>
  <c r="AA31" i="13"/>
  <c r="AA30" i="13"/>
  <c r="X30" i="13"/>
  <c r="W30" i="13"/>
  <c r="AA29" i="13"/>
  <c r="X29" i="13"/>
  <c r="W29" i="13"/>
  <c r="AD28" i="13"/>
  <c r="AC28" i="13"/>
  <c r="AA28" i="13"/>
  <c r="X28" i="13"/>
  <c r="W28" i="13"/>
  <c r="AA27" i="13"/>
  <c r="AA26" i="13"/>
  <c r="X26" i="13"/>
  <c r="W26" i="13"/>
  <c r="AA25" i="13"/>
  <c r="AD24" i="13"/>
  <c r="AC24" i="13"/>
  <c r="AA24" i="13"/>
  <c r="X24" i="13"/>
  <c r="W24" i="13"/>
  <c r="AA23" i="13"/>
  <c r="X23" i="13"/>
  <c r="D81" i="13" s="1"/>
  <c r="W23" i="13"/>
  <c r="AA22" i="13"/>
  <c r="AA21" i="13"/>
  <c r="AA20" i="13"/>
  <c r="AA19" i="13"/>
  <c r="AA18" i="13"/>
  <c r="AA17" i="13"/>
  <c r="AA16" i="13"/>
  <c r="AA15" i="13"/>
  <c r="AA14" i="13"/>
  <c r="K62" i="13" s="1"/>
  <c r="AA13" i="13"/>
  <c r="X13" i="13"/>
  <c r="C80" i="13" s="1"/>
  <c r="W13" i="13"/>
  <c r="AA12" i="13"/>
  <c r="M63" i="13" s="1"/>
  <c r="AD11" i="13"/>
  <c r="AC11" i="13"/>
  <c r="AA11" i="13"/>
  <c r="X11" i="13"/>
  <c r="W11" i="13"/>
  <c r="AD10" i="13"/>
  <c r="AC10" i="13"/>
  <c r="AA10" i="13"/>
  <c r="X10" i="13"/>
  <c r="W10" i="13"/>
  <c r="AD9" i="13"/>
  <c r="AC9" i="13"/>
  <c r="AA9" i="13"/>
  <c r="X9" i="13"/>
  <c r="W9" i="13"/>
  <c r="AD8" i="13"/>
  <c r="AC8" i="13"/>
  <c r="AA8" i="13"/>
  <c r="X8" i="13"/>
  <c r="W8" i="13"/>
  <c r="AA7" i="13"/>
  <c r="X7" i="13"/>
  <c r="W7" i="13"/>
  <c r="AD6" i="13"/>
  <c r="AC6" i="13"/>
  <c r="AA6" i="13"/>
  <c r="X6" i="13"/>
  <c r="W6" i="13"/>
  <c r="AD5" i="13"/>
  <c r="AC5" i="13"/>
  <c r="AA5" i="13"/>
  <c r="X5" i="13"/>
  <c r="W5" i="13"/>
  <c r="AA4" i="13"/>
  <c r="AA3" i="13"/>
  <c r="AD2" i="13"/>
  <c r="AC2" i="13"/>
  <c r="AA2" i="13"/>
  <c r="X2" i="13"/>
  <c r="W2" i="13"/>
  <c r="J66" i="13"/>
  <c r="I66" i="13"/>
  <c r="H66" i="13"/>
  <c r="G66" i="13"/>
  <c r="E66" i="13"/>
  <c r="D66" i="13"/>
  <c r="C66" i="13"/>
  <c r="J65" i="13"/>
  <c r="I65" i="13"/>
  <c r="H65" i="13"/>
  <c r="G65" i="13"/>
  <c r="D65" i="13"/>
  <c r="C65" i="13"/>
  <c r="J64" i="13"/>
  <c r="I64" i="13"/>
  <c r="H64" i="13"/>
  <c r="G64" i="13"/>
  <c r="D64" i="13"/>
  <c r="C64" i="13"/>
  <c r="J63" i="13"/>
  <c r="I63" i="13"/>
  <c r="H63" i="13"/>
  <c r="G63" i="13"/>
  <c r="E63" i="13"/>
  <c r="D63" i="13"/>
  <c r="C63" i="13"/>
  <c r="J62" i="13"/>
  <c r="I62" i="13"/>
  <c r="H62" i="13"/>
  <c r="G62" i="13"/>
  <c r="D62" i="13"/>
  <c r="C62" i="13"/>
  <c r="J61" i="13"/>
  <c r="I61" i="13"/>
  <c r="H61" i="13"/>
  <c r="G61" i="13"/>
  <c r="D61" i="13"/>
  <c r="C61" i="13"/>
  <c r="S55" i="13"/>
  <c r="R55" i="13"/>
  <c r="S54" i="13"/>
  <c r="R54" i="13"/>
  <c r="S53" i="13"/>
  <c r="R53" i="13"/>
  <c r="S52" i="13"/>
  <c r="R52" i="13"/>
  <c r="S51" i="13"/>
  <c r="R51" i="13"/>
  <c r="S50" i="13"/>
  <c r="R50" i="13"/>
  <c r="S49" i="13"/>
  <c r="R49" i="13"/>
  <c r="S48" i="13"/>
  <c r="R48" i="13"/>
  <c r="S47" i="13"/>
  <c r="R47" i="13"/>
  <c r="S46" i="13"/>
  <c r="R46" i="13"/>
  <c r="S45" i="13"/>
  <c r="R45" i="13"/>
  <c r="S44" i="13"/>
  <c r="R44" i="13"/>
  <c r="S43" i="13"/>
  <c r="R43" i="13"/>
  <c r="S42" i="13"/>
  <c r="R42" i="13"/>
  <c r="S41" i="13"/>
  <c r="R41" i="13"/>
  <c r="S40" i="13"/>
  <c r="R40" i="13"/>
  <c r="S39" i="13"/>
  <c r="R39" i="13"/>
  <c r="S38" i="13"/>
  <c r="R38" i="13"/>
  <c r="S37" i="13"/>
  <c r="R37" i="13"/>
  <c r="S36" i="13"/>
  <c r="R36" i="13"/>
  <c r="S35" i="13"/>
  <c r="R35" i="13"/>
  <c r="S34" i="13"/>
  <c r="R34" i="13"/>
  <c r="S33" i="13"/>
  <c r="R33" i="13"/>
  <c r="S32" i="13"/>
  <c r="R32" i="13"/>
  <c r="S31" i="13"/>
  <c r="R31" i="13"/>
  <c r="S30" i="13"/>
  <c r="R30" i="13"/>
  <c r="S29" i="13"/>
  <c r="R29" i="13"/>
  <c r="S28" i="13"/>
  <c r="R28" i="13"/>
  <c r="S27" i="13"/>
  <c r="R27" i="13"/>
  <c r="S26" i="13"/>
  <c r="R26" i="13"/>
  <c r="S25" i="13"/>
  <c r="R25" i="13"/>
  <c r="S24" i="13"/>
  <c r="R24" i="13"/>
  <c r="S23" i="13"/>
  <c r="R23" i="13"/>
  <c r="S22" i="13"/>
  <c r="R22" i="13"/>
  <c r="S21" i="13"/>
  <c r="R21" i="13"/>
  <c r="S20" i="13"/>
  <c r="R20" i="13"/>
  <c r="S19" i="13"/>
  <c r="R19" i="13"/>
  <c r="S18" i="13"/>
  <c r="R18" i="13"/>
  <c r="S17" i="13"/>
  <c r="R17" i="13"/>
  <c r="S16" i="13"/>
  <c r="R16" i="13"/>
  <c r="K61" i="13"/>
  <c r="S15" i="13"/>
  <c r="R15" i="13"/>
  <c r="S14" i="13"/>
  <c r="R14" i="13"/>
  <c r="S13" i="13"/>
  <c r="R13" i="13"/>
  <c r="S12" i="13"/>
  <c r="R12" i="13"/>
  <c r="S11" i="13"/>
  <c r="R11" i="13"/>
  <c r="S10" i="13"/>
  <c r="R10" i="13"/>
  <c r="S9" i="13"/>
  <c r="R9" i="13"/>
  <c r="S8" i="13"/>
  <c r="R8" i="13"/>
  <c r="S7" i="13"/>
  <c r="R7" i="13"/>
  <c r="S6" i="13"/>
  <c r="R6" i="13"/>
  <c r="S5" i="13"/>
  <c r="R5" i="13"/>
  <c r="S4" i="13"/>
  <c r="R4" i="13"/>
  <c r="S3" i="13"/>
  <c r="R3" i="13"/>
  <c r="B58" i="12"/>
  <c r="E57" i="12"/>
  <c r="D57" i="12"/>
  <c r="E46" i="12"/>
  <c r="D46" i="12"/>
  <c r="E41" i="12"/>
  <c r="D41" i="12"/>
  <c r="E26" i="12"/>
  <c r="D26" i="12"/>
  <c r="K24" i="12"/>
  <c r="J24" i="12"/>
  <c r="H24" i="12"/>
  <c r="E24" i="12"/>
  <c r="D24" i="12"/>
  <c r="E23" i="12"/>
  <c r="D23" i="12"/>
  <c r="K2" i="12"/>
  <c r="J2" i="12"/>
  <c r="E2" i="12"/>
  <c r="D2" i="12"/>
  <c r="K57" i="12"/>
  <c r="J57" i="12"/>
  <c r="H57" i="12"/>
  <c r="H56" i="12"/>
  <c r="H55" i="12"/>
  <c r="H54" i="12"/>
  <c r="H53" i="12"/>
  <c r="H52" i="12"/>
  <c r="E52" i="12"/>
  <c r="D52" i="12"/>
  <c r="H51" i="12"/>
  <c r="E51" i="12"/>
  <c r="D51" i="12"/>
  <c r="H50" i="12"/>
  <c r="E50" i="12"/>
  <c r="D50" i="12"/>
  <c r="H49" i="12"/>
  <c r="E49" i="12"/>
  <c r="D49" i="12"/>
  <c r="H48" i="12"/>
  <c r="E48" i="12"/>
  <c r="D48" i="12"/>
  <c r="K47" i="12"/>
  <c r="J47" i="12"/>
  <c r="H47" i="12"/>
  <c r="E47" i="12"/>
  <c r="D47" i="12"/>
  <c r="H46" i="12"/>
  <c r="H45" i="12"/>
  <c r="K44" i="12"/>
  <c r="J44" i="12"/>
  <c r="H44" i="12"/>
  <c r="E44" i="12"/>
  <c r="D44" i="12"/>
  <c r="H43" i="12"/>
  <c r="H42" i="12"/>
  <c r="H41" i="12"/>
  <c r="K40" i="12"/>
  <c r="J40" i="12"/>
  <c r="H40" i="12"/>
  <c r="E40" i="12"/>
  <c r="D40" i="12"/>
  <c r="H39" i="12"/>
  <c r="H38" i="12"/>
  <c r="H37" i="12"/>
  <c r="H36" i="12"/>
  <c r="H35" i="12"/>
  <c r="H34" i="12"/>
  <c r="K33" i="12"/>
  <c r="J33" i="12"/>
  <c r="H33" i="12"/>
  <c r="E33" i="12"/>
  <c r="D33" i="12"/>
  <c r="K32" i="12"/>
  <c r="J32" i="12"/>
  <c r="H32" i="12"/>
  <c r="E32" i="12"/>
  <c r="D32" i="12"/>
  <c r="H31" i="12"/>
  <c r="H30" i="12"/>
  <c r="E30" i="12"/>
  <c r="D30" i="12"/>
  <c r="H29" i="12"/>
  <c r="E29" i="12"/>
  <c r="D29" i="12"/>
  <c r="K28" i="12"/>
  <c r="J28" i="12"/>
  <c r="H28" i="12"/>
  <c r="E28" i="12"/>
  <c r="D28" i="12"/>
  <c r="H27" i="12"/>
  <c r="H26" i="12"/>
  <c r="H25" i="12"/>
  <c r="H23" i="12"/>
  <c r="H22" i="12"/>
  <c r="H21" i="12"/>
  <c r="H20" i="12"/>
  <c r="H19" i="12"/>
  <c r="H18" i="12"/>
  <c r="H17" i="12"/>
  <c r="H16" i="12"/>
  <c r="H15" i="12"/>
  <c r="H14" i="12"/>
  <c r="H13" i="12"/>
  <c r="E13" i="12"/>
  <c r="D13" i="12"/>
  <c r="H12" i="12"/>
  <c r="K11" i="12"/>
  <c r="J11" i="12"/>
  <c r="H11" i="12"/>
  <c r="E11" i="12"/>
  <c r="D11" i="12"/>
  <c r="K10" i="12"/>
  <c r="J10" i="12"/>
  <c r="H10" i="12"/>
  <c r="E10" i="12"/>
  <c r="D10" i="12"/>
  <c r="K9" i="12"/>
  <c r="J9" i="12"/>
  <c r="H9" i="12"/>
  <c r="E9" i="12"/>
  <c r="D9" i="12"/>
  <c r="K8" i="12"/>
  <c r="J8" i="12"/>
  <c r="H8" i="12"/>
  <c r="E8" i="12"/>
  <c r="D8" i="12"/>
  <c r="H7" i="12"/>
  <c r="E7" i="12"/>
  <c r="D7" i="12"/>
  <c r="K6" i="12"/>
  <c r="J6" i="12"/>
  <c r="H6" i="12"/>
  <c r="E6" i="12"/>
  <c r="D6" i="12"/>
  <c r="K5" i="12"/>
  <c r="J5" i="12"/>
  <c r="H5" i="12"/>
  <c r="E5" i="12"/>
  <c r="D5" i="12"/>
  <c r="H4" i="12"/>
  <c r="H58" i="12" s="1"/>
  <c r="H3" i="12"/>
  <c r="H2" i="12"/>
  <c r="C94" i="10"/>
  <c r="C93" i="10"/>
  <c r="C92" i="10"/>
  <c r="C91"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C3" i="10"/>
  <c r="C2" i="10"/>
  <c r="M66" i="13" l="1"/>
  <c r="C81" i="13"/>
  <c r="C73" i="13"/>
  <c r="L63" i="13"/>
  <c r="C84" i="13"/>
  <c r="C83" i="13"/>
  <c r="L66" i="13"/>
  <c r="C71" i="13"/>
  <c r="C74" i="13"/>
  <c r="C72" i="13"/>
  <c r="K65" i="13"/>
  <c r="C75" i="13"/>
  <c r="L62" i="13"/>
  <c r="AA58" i="13"/>
  <c r="K63" i="13"/>
  <c r="L61" i="13"/>
  <c r="K64" i="13"/>
  <c r="L64" i="13"/>
  <c r="L65" i="13"/>
  <c r="K66" i="13"/>
  <c r="L77" i="5" l="1"/>
  <c r="L76" i="5"/>
  <c r="L75" i="5"/>
  <c r="L74" i="5"/>
  <c r="L73" i="5"/>
  <c r="L72" i="5"/>
  <c r="P56" i="5" l="1"/>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P17" i="5"/>
  <c r="O17" i="5"/>
  <c r="P16" i="5"/>
  <c r="O16" i="5"/>
  <c r="P15" i="5"/>
  <c r="O15" i="5"/>
  <c r="P14" i="5"/>
  <c r="O14" i="5"/>
  <c r="P13" i="5"/>
  <c r="O13" i="5"/>
  <c r="P12" i="5"/>
  <c r="O12" i="5"/>
  <c r="P11" i="5"/>
  <c r="O11" i="5"/>
  <c r="P10" i="5"/>
  <c r="O10" i="5"/>
  <c r="P9" i="5"/>
  <c r="O9" i="5"/>
  <c r="P8" i="5"/>
  <c r="O8" i="5"/>
  <c r="P7" i="5"/>
  <c r="O7" i="5"/>
  <c r="P6" i="5"/>
  <c r="O6" i="5"/>
  <c r="P5" i="5"/>
  <c r="O5" i="5"/>
  <c r="P4" i="5"/>
  <c r="O4" i="5"/>
</calcChain>
</file>

<file path=xl/sharedStrings.xml><?xml version="1.0" encoding="utf-8"?>
<sst xmlns="http://schemas.openxmlformats.org/spreadsheetml/2006/main" count="1054" uniqueCount="285">
  <si>
    <t>dispnum3</t>
  </si>
  <si>
    <t>dispnum4</t>
  </si>
  <si>
    <t>fatality</t>
  </si>
  <si>
    <t>hiact</t>
  </si>
  <si>
    <t>hostlev</t>
  </si>
  <si>
    <t>ROK</t>
  </si>
  <si>
    <t>JPN</t>
  </si>
  <si>
    <t>CHN</t>
  </si>
  <si>
    <t>USA</t>
  </si>
  <si>
    <t>PRK</t>
  </si>
  <si>
    <t>USR</t>
  </si>
  <si>
    <t>IRQ</t>
  </si>
  <si>
    <t>IRN</t>
  </si>
  <si>
    <t>FRN</t>
  </si>
  <si>
    <t>SPN</t>
  </si>
  <si>
    <t>stabb1</t>
  </si>
  <si>
    <t>ccode1</t>
  </si>
  <si>
    <t>dyadid</t>
  </si>
  <si>
    <t>stabb2</t>
  </si>
  <si>
    <t>ccode2</t>
  </si>
  <si>
    <t>year</t>
  </si>
  <si>
    <t>ccode1 initiate</t>
  </si>
  <si>
    <t>ccode2 initiate</t>
  </si>
  <si>
    <t>.</t>
  </si>
  <si>
    <t>PRK initiate</t>
  </si>
  <si>
    <t>ROK initiate</t>
  </si>
  <si>
    <t xml:space="preserve">PRK </t>
  </si>
  <si>
    <t>Year</t>
  </si>
  <si>
    <t>Total MIDs</t>
  </si>
  <si>
    <t>North Korean Initiate MIDs</t>
  </si>
  <si>
    <t>South Korea Initiate MIDs</t>
  </si>
  <si>
    <t>Fatal MIDs</t>
  </si>
  <si>
    <t>Average Highest Action</t>
  </si>
  <si>
    <t>Average Hostility Level</t>
  </si>
  <si>
    <t>US Troops</t>
  </si>
  <si>
    <t>US Army</t>
  </si>
  <si>
    <t>% Change Total</t>
  </si>
  <si>
    <t>% Change Army</t>
  </si>
  <si>
    <t>Sources:</t>
  </si>
  <si>
    <t>1. Historical Reports - Military Only - 1950, 1953 - 1999, (download .zip file) at https://www.dmdc.osd.mil/appj/dwp/reports.do?category=reports&amp;subCat=pubs</t>
  </si>
  <si>
    <t>2. Active Duty Military Personnel by Service by Region/Country (Updated Quarterly), filename: FY 1997 - FY 2011, at https://www.dmdc.osd.mil/appj/dwp/reports.do?category=reports&amp;subCat=milActDutReg</t>
  </si>
  <si>
    <t>Average Troops by Decade</t>
  </si>
  <si>
    <t>1955-1960</t>
  </si>
  <si>
    <t>1961-1970</t>
  </si>
  <si>
    <t>1971-1980</t>
  </si>
  <si>
    <t>1981-1990</t>
  </si>
  <si>
    <t>1991-2000</t>
  </si>
  <si>
    <t>2001-2008</t>
  </si>
  <si>
    <t>1969-1971: 1 year</t>
  </si>
  <si>
    <t>1969-1971: 3 years</t>
  </si>
  <si>
    <t>1969-1971: 5 years</t>
  </si>
  <si>
    <t>2004-2005: 1 year</t>
  </si>
  <si>
    <t>2004-2005: 3 years</t>
  </si>
  <si>
    <t>2004-2005: 5 years</t>
  </si>
  <si>
    <t>Pre-Shock</t>
  </si>
  <si>
    <t>Post-Shock</t>
  </si>
  <si>
    <t>T-test</t>
  </si>
  <si>
    <t>BEMA</t>
  </si>
  <si>
    <t>Initiation: North Korea Pre-Shock</t>
  </si>
  <si>
    <t>Initiation: North Korea Post-Shock</t>
  </si>
  <si>
    <t>Initiation South Korea Pre-Shock</t>
  </si>
  <si>
    <t>Initiation South Korea Post-Shock</t>
  </si>
  <si>
    <t>ROKinvolve</t>
  </si>
  <si>
    <t>PRKinvolve</t>
  </si>
  <si>
    <t>Korean MID Initiates</t>
  </si>
  <si>
    <t>Korean Initate Pre-Shock</t>
  </si>
  <si>
    <t>Korean Initiate Post-Shock</t>
  </si>
  <si>
    <t>Korean MID Initiate Average Highest Action</t>
  </si>
  <si>
    <t>Korean MID Initiate Average Hostility Level</t>
  </si>
  <si>
    <t>Korean MID Initiate Fatal MIDs</t>
  </si>
  <si>
    <t>Total</t>
  </si>
  <si>
    <t>MIDs per decade</t>
  </si>
  <si>
    <t>2001-2010</t>
  </si>
  <si>
    <t>All MIDs</t>
  </si>
  <si>
    <t>Korean Initated MIDs</t>
  </si>
  <si>
    <t>MID Hostility</t>
  </si>
  <si>
    <t>BEMAs</t>
  </si>
  <si>
    <t>1969-1971</t>
  </si>
  <si>
    <t>1 year</t>
  </si>
  <si>
    <t>Pre-shock</t>
  </si>
  <si>
    <t>Post-shock</t>
  </si>
  <si>
    <t>3 years</t>
  </si>
  <si>
    <t>5 years</t>
  </si>
  <si>
    <t>2004-2005</t>
  </si>
  <si>
    <t>Hostility Level</t>
  </si>
  <si>
    <t>War</t>
  </si>
  <si>
    <t>Use of force</t>
  </si>
  <si>
    <t>Display of force</t>
  </si>
  <si>
    <t>Threat to use force</t>
  </si>
  <si>
    <t>No militarized action</t>
  </si>
  <si>
    <t>0,0</t>
  </si>
  <si>
    <t>1,0</t>
  </si>
  <si>
    <t>4,1</t>
  </si>
  <si>
    <t>8,4</t>
  </si>
  <si>
    <t>0,1</t>
  </si>
  <si>
    <t>2,0</t>
  </si>
  <si>
    <t>2,1</t>
  </si>
  <si>
    <t>6,0</t>
  </si>
  <si>
    <t>4,2</t>
  </si>
  <si>
    <t>7,2</t>
  </si>
  <si>
    <t>7,3</t>
  </si>
  <si>
    <t>Notes. Cells display values for: pre-redeployment, post-redeployment.</t>
  </si>
  <si>
    <t>Average hostility levels</t>
  </si>
  <si>
    <t>U.S. Troops</t>
  </si>
  <si>
    <t>Past MIDs</t>
  </si>
  <si>
    <t>1961-70</t>
  </si>
  <si>
    <t>1971-80</t>
  </si>
  <si>
    <t>1981-90</t>
  </si>
  <si>
    <t>N</t>
  </si>
  <si>
    <t>Constant</t>
  </si>
  <si>
    <t>FIGURE 3.</t>
  </si>
  <si>
    <t>U.S. Troops and Militarized Interstate Disputes, 1955-2010</t>
  </si>
  <si>
    <t>(3)</t>
  </si>
  <si>
    <t>(4)</t>
  </si>
  <si>
    <t>(5)</t>
  </si>
  <si>
    <t xml:space="preserve">(6)   </t>
  </si>
  <si>
    <t xml:space="preserve">                 </t>
  </si>
  <si>
    <t>(0.018)</t>
  </si>
  <si>
    <t>0.205**</t>
  </si>
  <si>
    <t>0.003</t>
  </si>
  <si>
    <t>(1)</t>
  </si>
  <si>
    <t>(2)</t>
  </si>
  <si>
    <t>-0.008</t>
  </si>
  <si>
    <t>(0.008)</t>
  </si>
  <si>
    <t xml:space="preserve">(1.707)        </t>
  </si>
  <si>
    <t>0.089</t>
  </si>
  <si>
    <t xml:space="preserve">(0.404)         </t>
  </si>
  <si>
    <t>(0.406)</t>
  </si>
  <si>
    <t>Peaceyears</t>
  </si>
  <si>
    <t>Cut1 Constant</t>
  </si>
  <si>
    <t>Cut2 Constant</t>
  </si>
  <si>
    <t>Cut3 Constant</t>
  </si>
  <si>
    <t>Cut4 Constant</t>
  </si>
  <si>
    <t>Cut5 Constant</t>
  </si>
  <si>
    <t>Robust standard errors in parentheses. + p&lt;0.10, * p&lt;0.05, ** p&lt;0.01, *** p&lt;0.001</t>
  </si>
  <si>
    <t xml:space="preserve">Notes: Models 1-4 report poisson coefficients. Model 4 leads the U.S. troop count. </t>
  </si>
  <si>
    <t>Peaceyears²</t>
  </si>
  <si>
    <t>Peaceyears³</t>
  </si>
  <si>
    <t>Pseudo R²</t>
  </si>
  <si>
    <t>US Troops: Germany</t>
  </si>
  <si>
    <t>US Army: Germany</t>
  </si>
  <si>
    <t>US Marines: Germany</t>
  </si>
  <si>
    <t>US Troops: Japan</t>
  </si>
  <si>
    <t>US Army: Japan</t>
  </si>
  <si>
    <t>US Marines: Japan</t>
  </si>
  <si>
    <t>US Army and Marines: Germany</t>
  </si>
  <si>
    <t>US Army and Marines: Japan</t>
  </si>
  <si>
    <t>US Troops: South Korea</t>
  </si>
  <si>
    <t>US Army: Korea</t>
  </si>
  <si>
    <t>US Marines: Korea</t>
  </si>
  <si>
    <t>US Army and Marines: Korea</t>
  </si>
  <si>
    <t>US Troops: US</t>
  </si>
  <si>
    <t>US Army: US</t>
  </si>
  <si>
    <t>US Marines: US</t>
  </si>
  <si>
    <t>US Army and Marines: US</t>
  </si>
  <si>
    <t>Note: US includes Continental US, Alaska, and Hawaii</t>
  </si>
  <si>
    <t>Total US Army</t>
  </si>
  <si>
    <t>Total Marines Corps (Includes Afloat)</t>
  </si>
  <si>
    <t>Total U.S. Forces (Includes Afloat)</t>
  </si>
  <si>
    <t>Note: Figures for 2003, 2004, and 2005 include figures in Germany, U.S., Japan, and South Korea some troops in country that were reassigned to Operation Iraqi Freedom. Only 2005 provides detailed breakdown to correct for this. The differences would not effect the major inferences that large numbers of troops were withdrawn from South Korea from 2004-2005.</t>
  </si>
  <si>
    <t>Figure 1</t>
  </si>
  <si>
    <t>U.S. Forces, 1968-1972</t>
  </si>
  <si>
    <t>Figure 2.</t>
  </si>
  <si>
    <t>U.S. Forces, 2003-2006</t>
  </si>
  <si>
    <t>Figure 4.</t>
  </si>
  <si>
    <t>North Korean Belligerent Military Activities, 1998-2010</t>
  </si>
  <si>
    <t>Belligerent Military Activies Before and After Major U.S. Drawdowns</t>
  </si>
  <si>
    <t xml:space="preserve">Figure 3. </t>
  </si>
  <si>
    <t>https://www.dmdc.osd.mil/appj/dwp/dwp_reports.jsp</t>
  </si>
  <si>
    <t>Source: Defense Manpower Data Center.</t>
  </si>
  <si>
    <t xml:space="preserve">troop levels as of September 30 each year. </t>
  </si>
  <si>
    <t>Table 1: U.S. Troop Levels and Militarized Interstate Disputes, 1955-2010</t>
  </si>
  <si>
    <t>-0.005</t>
  </si>
  <si>
    <t>-0.016</t>
  </si>
  <si>
    <t>0.005</t>
  </si>
  <si>
    <t>-0.007</t>
  </si>
  <si>
    <t xml:space="preserve">-0.029   </t>
  </si>
  <si>
    <t xml:space="preserve">(0.008)         </t>
  </si>
  <si>
    <t>(0.020)</t>
  </si>
  <si>
    <t xml:space="preserve">(0.028)   </t>
  </si>
  <si>
    <t>(0.074)</t>
  </si>
  <si>
    <t>0.084</t>
  </si>
  <si>
    <t>(0.349)</t>
  </si>
  <si>
    <t>-0.935+</t>
  </si>
  <si>
    <t>(0.538)</t>
  </si>
  <si>
    <t>-0.305</t>
  </si>
  <si>
    <t>(0.498)</t>
  </si>
  <si>
    <t>-0.231</t>
  </si>
  <si>
    <t>(0.541)</t>
  </si>
  <si>
    <t>2000-10</t>
  </si>
  <si>
    <t>-0.226</t>
  </si>
  <si>
    <t>(0.662)</t>
  </si>
  <si>
    <t xml:space="preserve">0.298           </t>
  </si>
  <si>
    <t>1.101</t>
  </si>
  <si>
    <t>0.634</t>
  </si>
  <si>
    <t>0.346</t>
  </si>
  <si>
    <t>0.485</t>
  </si>
  <si>
    <t>3.911</t>
  </si>
  <si>
    <t xml:space="preserve">(1.548)         </t>
  </si>
  <si>
    <t>(1.575)</t>
  </si>
  <si>
    <t>(1.314)</t>
  </si>
  <si>
    <t>(1.562)</t>
  </si>
  <si>
    <t>(6.157)</t>
  </si>
  <si>
    <t xml:space="preserve">(3.397)   </t>
  </si>
  <si>
    <t xml:space="preserve">-0.207         </t>
  </si>
  <si>
    <t>-0.644</t>
  </si>
  <si>
    <t>-0.523</t>
  </si>
  <si>
    <t>-0.258</t>
  </si>
  <si>
    <t>-0.554</t>
  </si>
  <si>
    <t xml:space="preserve">-7.790*  </t>
  </si>
  <si>
    <t xml:space="preserve">0.017           </t>
  </si>
  <si>
    <t>0.110</t>
  </si>
  <si>
    <t>0.030</t>
  </si>
  <si>
    <t>0.100</t>
  </si>
  <si>
    <t xml:space="preserve">2.672** </t>
  </si>
  <si>
    <t xml:space="preserve"> (1.716)</t>
  </si>
  <si>
    <t>(1.364)</t>
  </si>
  <si>
    <t>(1.693)</t>
  </si>
  <si>
    <t>(6.996)</t>
  </si>
  <si>
    <t xml:space="preserve">(3.633)   </t>
  </si>
  <si>
    <t>(0.316)</t>
  </si>
  <si>
    <t>(0.398)</t>
  </si>
  <si>
    <t>(1.672)</t>
  </si>
  <si>
    <t xml:space="preserve">(0.860)   </t>
  </si>
  <si>
    <t xml:space="preserve">0.707+       </t>
  </si>
  <si>
    <t xml:space="preserve">   0.401</t>
  </si>
  <si>
    <t>1.439</t>
  </si>
  <si>
    <t>0.273</t>
  </si>
  <si>
    <t xml:space="preserve">3.252*  </t>
  </si>
  <si>
    <t xml:space="preserve">(0.404)       </t>
  </si>
  <si>
    <t xml:space="preserve">  (0.406)</t>
  </si>
  <si>
    <t>(1.120)</t>
  </si>
  <si>
    <t>(0.357)</t>
  </si>
  <si>
    <t xml:space="preserve">(1.445)   </t>
  </si>
  <si>
    <t>-1.997*</t>
  </si>
  <si>
    <t>(0.894)</t>
  </si>
  <si>
    <t>-0.259</t>
  </si>
  <si>
    <t>(0.899)</t>
  </si>
  <si>
    <t>0.865</t>
  </si>
  <si>
    <t>(0.930)</t>
  </si>
  <si>
    <t>1.989+</t>
  </si>
  <si>
    <t>(1.103)</t>
  </si>
  <si>
    <t>3.680*</t>
  </si>
  <si>
    <t>(1.484)</t>
  </si>
  <si>
    <t>56</t>
  </si>
  <si>
    <t>55</t>
  </si>
  <si>
    <t xml:space="preserve">0.004          </t>
  </si>
  <si>
    <t>0.028</t>
  </si>
  <si>
    <t>0.036</t>
  </si>
  <si>
    <t>0.004</t>
  </si>
  <si>
    <t xml:space="preserve">0.079   </t>
  </si>
  <si>
    <t xml:space="preserve">Model 5 reports ordered logit coefficients, and Model 6 reports logit coefficients. </t>
  </si>
  <si>
    <t>3. www.dmdc.osd.mil/appj/dwp/dwp_reports.jsp, Accessed May 15, 2017.</t>
  </si>
  <si>
    <t>Note: Prior to initial submission we used sources listed above. Preparing for final publication we revisted DMDC website and updated 2008, 2009, 2010 based on new troop data availability for those years. There were no substantive changes to our results or interpretation as a result of this update and updated troop figures are used in the final article.</t>
  </si>
  <si>
    <t>US Marines</t>
  </si>
  <si>
    <t>Average Army per Decade</t>
  </si>
  <si>
    <t>Instability</t>
  </si>
  <si>
    <t>Nuclear Proliferation</t>
  </si>
  <si>
    <t>Arms Racing</t>
  </si>
  <si>
    <t>Diplomacy</t>
  </si>
  <si>
    <t>2004-05</t>
  </si>
  <si>
    <t>1969-71</t>
  </si>
  <si>
    <t>No Change</t>
  </si>
  <si>
    <t>Superficial</t>
  </si>
  <si>
    <t>South Korean initiatives</t>
  </si>
  <si>
    <t>North Korea tests nuclear device</t>
  </si>
  <si>
    <t>South Korea conventional buildup</t>
  </si>
  <si>
    <t>South Korea expands program</t>
  </si>
  <si>
    <t>Table 2. Qualitative Assessment of Case Outcomes</t>
  </si>
  <si>
    <t>Core Outcome of Interest</t>
  </si>
  <si>
    <t>Additional Outcomes of Interest</t>
  </si>
  <si>
    <t>North and South Korea buildup</t>
  </si>
  <si>
    <r>
      <t xml:space="preserve">Figure 2. </t>
    </r>
    <r>
      <rPr>
        <sz val="11"/>
        <color theme="1"/>
        <rFont val="Calibri"/>
        <family val="2"/>
        <scheme val="minor"/>
      </rPr>
      <t>Percent change in US Army personnel in South Korea, 1955-2010</t>
    </r>
  </si>
  <si>
    <r>
      <rPr>
        <i/>
        <sz val="11"/>
        <color theme="1"/>
        <rFont val="Times New Roman"/>
        <family val="1"/>
      </rPr>
      <t xml:space="preserve">Notes. </t>
    </r>
    <r>
      <rPr>
        <sz val="11"/>
        <color theme="1"/>
        <rFont val="Times New Roman"/>
        <family val="1"/>
      </rPr>
      <t>Data for 1955-56 report troop levels as of June 30; data for 1957-2010 report</t>
    </r>
  </si>
  <si>
    <r>
      <rPr>
        <b/>
        <sz val="11"/>
        <color theme="1"/>
        <rFont val="Calibri"/>
        <family val="2"/>
        <scheme val="minor"/>
      </rPr>
      <t xml:space="preserve">Figure 1. </t>
    </r>
    <r>
      <rPr>
        <sz val="11"/>
        <color theme="1"/>
        <rFont val="Calibri"/>
        <family val="2"/>
        <scheme val="minor"/>
      </rPr>
      <t>US Army personnel in South Korea, 1955-2010</t>
    </r>
  </si>
  <si>
    <t>Data for Figures 1-2</t>
  </si>
  <si>
    <r>
      <t>Figure 3.</t>
    </r>
    <r>
      <rPr>
        <sz val="11"/>
        <color theme="1"/>
        <rFont val="Times New Roman"/>
        <family val="1"/>
      </rPr>
      <t xml:space="preserve"> US Army personnel and militarized interstate disputes, 1955-2010</t>
    </r>
  </si>
  <si>
    <r>
      <t xml:space="preserve">Figure 4. </t>
    </r>
    <r>
      <rPr>
        <sz val="11"/>
        <color theme="1"/>
        <rFont val="Calibri"/>
        <family val="2"/>
        <scheme val="minor"/>
      </rPr>
      <t>Number of MIDs before and after US troop drawdowns</t>
    </r>
  </si>
  <si>
    <t>Table 1. Number of MIDs by hostility level pre- and post-troop redeployments</t>
  </si>
  <si>
    <t>Appendix Figure 4</t>
  </si>
  <si>
    <t>Figure 4 and statistics reported in "Graphical Analysis" section</t>
  </si>
  <si>
    <t xml:space="preserve">Data for Table 1. </t>
  </si>
  <si>
    <t>Data for Figures 3-4, Appendix Figure 4</t>
  </si>
  <si>
    <t>Data for Appendix Figures 1 and 2</t>
  </si>
  <si>
    <t xml:space="preserve">See Stata .dta and .do files for data and replication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</si>
</sst>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7" x14ac:knownFonts="1">
    <font>
      <sz val="11"/>
      <color theme="1"/>
      <name val="Calibri"/>
      <family val="2"/>
      <scheme val="minor"/>
    </font>
    <font>
      <b/>
      <sz val="11"/>
      <color theme="1"/>
      <name val="Calibri"/>
      <family val="2"/>
      <scheme val="minor"/>
    </font>
    <font>
      <sz val="11"/>
      <color theme="1"/>
      <name val="Times New Roman"/>
      <family val="1"/>
    </font>
    <font>
      <sz val="10"/>
      <name val="Arial"/>
      <family val="2"/>
    </font>
    <font>
      <sz val="11"/>
      <name val="Times New Roman"/>
      <family val="1"/>
    </font>
    <font>
      <i/>
      <sz val="11"/>
      <color theme="1"/>
      <name val="Times New Roman"/>
      <family val="1"/>
    </font>
    <font>
      <b/>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79">
    <xf numFmtId="0" fontId="0" fillId="0" borderId="0" xfId="0"/>
    <xf numFmtId="0" fontId="0" fillId="0" borderId="0" xfId="0" applyFont="1"/>
    <xf numFmtId="0" fontId="2" fillId="0" borderId="0" xfId="0" applyFont="1"/>
    <xf numFmtId="3" fontId="2" fillId="0" borderId="0" xfId="0" applyNumberFormat="1" applyFont="1"/>
    <xf numFmtId="3" fontId="4" fillId="0" borderId="0" xfId="1" applyNumberFormat="1" applyFont="1" applyBorder="1"/>
    <xf numFmtId="164" fontId="2" fillId="0" borderId="0" xfId="0" applyNumberFormat="1" applyFont="1"/>
    <xf numFmtId="164" fontId="0" fillId="0" borderId="0" xfId="0" applyNumberFormat="1"/>
    <xf numFmtId="0" fontId="0" fillId="2" borderId="0" xfId="0" applyFill="1"/>
    <xf numFmtId="3" fontId="0" fillId="0" borderId="0" xfId="0" applyNumberFormat="1"/>
    <xf numFmtId="1" fontId="0" fillId="0" borderId="0" xfId="0" applyNumberFormat="1"/>
    <xf numFmtId="164" fontId="0" fillId="3" borderId="1" xfId="0" applyNumberFormat="1" applyFill="1" applyBorder="1" applyAlignment="1">
      <alignment horizontal="left" textRotation="45" wrapText="1"/>
    </xf>
    <xf numFmtId="1" fontId="0" fillId="3" borderId="1" xfId="0" applyNumberFormat="1" applyFill="1" applyBorder="1" applyAlignment="1">
      <alignment horizontal="left" textRotation="45" wrapText="1"/>
    </xf>
    <xf numFmtId="0" fontId="2" fillId="4" borderId="1" xfId="0" applyFont="1" applyFill="1" applyBorder="1" applyAlignment="1">
      <alignment textRotation="45" wrapText="1"/>
    </xf>
    <xf numFmtId="0" fontId="2" fillId="4" borderId="1" xfId="0" applyFont="1" applyFill="1" applyBorder="1" applyAlignment="1">
      <alignment horizontal="left" textRotation="46" wrapText="1"/>
    </xf>
    <xf numFmtId="164" fontId="2" fillId="4" borderId="1" xfId="0" applyNumberFormat="1" applyFont="1" applyFill="1" applyBorder="1" applyAlignment="1">
      <alignment horizontal="left" textRotation="46" wrapText="1"/>
    </xf>
    <xf numFmtId="1" fontId="0" fillId="4" borderId="1" xfId="0" applyNumberFormat="1" applyFill="1" applyBorder="1" applyAlignment="1">
      <alignment horizontal="left" textRotation="46" wrapText="1"/>
    </xf>
    <xf numFmtId="164" fontId="0" fillId="4" borderId="1" xfId="0" applyNumberFormat="1" applyFill="1" applyBorder="1" applyAlignment="1">
      <alignment horizontal="left" textRotation="46" wrapText="1"/>
    </xf>
    <xf numFmtId="0" fontId="2" fillId="2" borderId="0" xfId="0" applyFont="1" applyFill="1"/>
    <xf numFmtId="165" fontId="0" fillId="0" borderId="0" xfId="0" applyNumberFormat="1"/>
    <xf numFmtId="164" fontId="0" fillId="4" borderId="1" xfId="0" applyNumberFormat="1" applyFill="1" applyBorder="1" applyAlignment="1">
      <alignment horizontal="left" textRotation="45" wrapText="1"/>
    </xf>
    <xf numFmtId="0" fontId="2" fillId="2" borderId="2" xfId="0" applyFont="1" applyFill="1" applyBorder="1" applyAlignment="1">
      <alignment wrapText="1"/>
    </xf>
    <xf numFmtId="0" fontId="2" fillId="2" borderId="2" xfId="0" applyFont="1" applyFill="1" applyBorder="1" applyAlignment="1">
      <alignment horizontal="center" wrapText="1"/>
    </xf>
    <xf numFmtId="2" fontId="0" fillId="0" borderId="0" xfId="0" applyNumberFormat="1"/>
    <xf numFmtId="49" fontId="0" fillId="0" borderId="0" xfId="0" applyNumberFormat="1"/>
    <xf numFmtId="49" fontId="2" fillId="2" borderId="2" xfId="0" applyNumberFormat="1" applyFont="1" applyFill="1" applyBorder="1"/>
    <xf numFmtId="49" fontId="2" fillId="2" borderId="0" xfId="0" applyNumberFormat="1" applyFont="1" applyFill="1"/>
    <xf numFmtId="0" fontId="2" fillId="2" borderId="0" xfId="0" applyFont="1" applyFill="1" applyBorder="1" applyAlignment="1">
      <alignment horizontal="center"/>
    </xf>
    <xf numFmtId="0" fontId="0" fillId="2" borderId="0" xfId="0" applyFill="1" applyBorder="1"/>
    <xf numFmtId="0" fontId="2" fillId="2" borderId="6" xfId="0" applyFont="1" applyFill="1" applyBorder="1"/>
    <xf numFmtId="0" fontId="2" fillId="2" borderId="0" xfId="0" applyFont="1" applyFill="1" applyBorder="1"/>
    <xf numFmtId="0" fontId="2" fillId="2" borderId="7" xfId="0" applyFont="1" applyFill="1" applyBorder="1"/>
    <xf numFmtId="0" fontId="2" fillId="2" borderId="7" xfId="0" applyFont="1" applyFill="1" applyBorder="1" applyAlignment="1">
      <alignment horizontal="center"/>
    </xf>
    <xf numFmtId="0" fontId="2" fillId="2" borderId="9" xfId="0" applyFont="1" applyFill="1" applyBorder="1" applyAlignment="1">
      <alignment horizontal="center" wrapText="1"/>
    </xf>
    <xf numFmtId="0" fontId="6" fillId="2" borderId="0" xfId="0" applyFont="1" applyFill="1" applyBorder="1"/>
    <xf numFmtId="49" fontId="0" fillId="2" borderId="0" xfId="0" applyNumberFormat="1" applyFill="1"/>
    <xf numFmtId="49" fontId="2" fillId="2" borderId="11" xfId="0" applyNumberFormat="1" applyFont="1" applyFill="1" applyBorder="1"/>
    <xf numFmtId="49" fontId="2" fillId="2" borderId="11" xfId="0" applyNumberFormat="1" applyFont="1" applyFill="1" applyBorder="1" applyAlignment="1">
      <alignment horizontal="center"/>
    </xf>
    <xf numFmtId="0" fontId="2" fillId="0" borderId="0" xfId="0" applyFont="1" applyAlignment="1">
      <alignment textRotation="135"/>
    </xf>
    <xf numFmtId="0" fontId="0" fillId="0" borderId="0" xfId="0" applyAlignment="1">
      <alignment textRotation="135"/>
    </xf>
    <xf numFmtId="0" fontId="2" fillId="0" borderId="0" xfId="0" applyFont="1" applyAlignment="1">
      <alignment wrapText="1"/>
    </xf>
    <xf numFmtId="0" fontId="6" fillId="2" borderId="4" xfId="0" applyFont="1" applyFill="1" applyBorder="1" applyAlignment="1">
      <alignment wrapText="1"/>
    </xf>
    <xf numFmtId="0" fontId="6" fillId="2" borderId="3" xfId="0" applyFont="1" applyFill="1" applyBorder="1" applyAlignment="1">
      <alignment horizontal="center" wrapText="1"/>
    </xf>
    <xf numFmtId="0" fontId="6" fillId="2" borderId="5" xfId="0" applyFont="1" applyFill="1" applyBorder="1" applyAlignment="1">
      <alignment horizontal="center" wrapText="1"/>
    </xf>
    <xf numFmtId="0" fontId="2" fillId="2" borderId="6" xfId="0" applyFont="1" applyFill="1" applyBorder="1" applyAlignment="1">
      <alignment wrapText="1"/>
    </xf>
    <xf numFmtId="0" fontId="2" fillId="2" borderId="0" xfId="0" applyFont="1" applyFill="1" applyBorder="1" applyAlignment="1">
      <alignment horizontal="center" wrapText="1"/>
    </xf>
    <xf numFmtId="0" fontId="2" fillId="2" borderId="7" xfId="0" applyFont="1" applyFill="1" applyBorder="1" applyAlignment="1">
      <alignment horizontal="center" wrapText="1"/>
    </xf>
    <xf numFmtId="0" fontId="6" fillId="2" borderId="6" xfId="0" applyFont="1" applyFill="1" applyBorder="1" applyAlignment="1">
      <alignment wrapText="1"/>
    </xf>
    <xf numFmtId="0" fontId="2" fillId="2" borderId="8" xfId="0" applyFont="1" applyFill="1" applyBorder="1" applyAlignment="1">
      <alignment wrapText="1"/>
    </xf>
    <xf numFmtId="0" fontId="2" fillId="2" borderId="0" xfId="0" applyFont="1" applyFill="1" applyAlignment="1">
      <alignment wrapText="1"/>
    </xf>
    <xf numFmtId="10" fontId="2" fillId="0" borderId="0" xfId="0" applyNumberFormat="1" applyFont="1"/>
    <xf numFmtId="0" fontId="2" fillId="2" borderId="3" xfId="0" applyFont="1" applyFill="1" applyBorder="1" applyAlignment="1">
      <alignment horizontal="left"/>
    </xf>
    <xf numFmtId="0" fontId="6" fillId="2" borderId="3" xfId="0" applyFont="1" applyFill="1" applyBorder="1" applyAlignment="1">
      <alignment horizontal="left"/>
    </xf>
    <xf numFmtId="0" fontId="6" fillId="2" borderId="5" xfId="0" applyFont="1" applyFill="1" applyBorder="1" applyAlignment="1">
      <alignment horizontal="left"/>
    </xf>
    <xf numFmtId="0" fontId="2" fillId="2" borderId="0" xfId="0" applyFont="1" applyFill="1" applyBorder="1" applyAlignment="1">
      <alignment horizontal="center"/>
    </xf>
    <xf numFmtId="0" fontId="2" fillId="2" borderId="0" xfId="0" applyFont="1" applyFill="1" applyBorder="1" applyAlignment="1">
      <alignment horizontal="left"/>
    </xf>
    <xf numFmtId="0" fontId="0" fillId="0" borderId="0" xfId="0" applyBorder="1"/>
    <xf numFmtId="0" fontId="0" fillId="0" borderId="6" xfId="0" applyBorder="1"/>
    <xf numFmtId="0" fontId="2" fillId="2" borderId="0" xfId="0" applyFont="1" applyFill="1" applyBorder="1" applyAlignment="1">
      <alignment vertical="center" wrapText="1"/>
    </xf>
    <xf numFmtId="0" fontId="0" fillId="2" borderId="0" xfId="0" applyFill="1" applyBorder="1" applyAlignment="1">
      <alignment horizontal="center"/>
    </xf>
    <xf numFmtId="0" fontId="6" fillId="2" borderId="0" xfId="0" applyFont="1" applyFill="1" applyBorder="1" applyAlignment="1">
      <alignment horizontal="left"/>
    </xf>
    <xf numFmtId="0" fontId="2" fillId="2" borderId="0" xfId="0" applyFont="1" applyFill="1" applyBorder="1" applyAlignment="1">
      <alignment horizontal="center"/>
    </xf>
    <xf numFmtId="0" fontId="2" fillId="2" borderId="0" xfId="0" applyFont="1" applyFill="1" applyBorder="1" applyAlignment="1">
      <alignment horizontal="left"/>
    </xf>
    <xf numFmtId="0" fontId="1" fillId="0" borderId="0" xfId="0" applyFont="1" applyAlignment="1">
      <alignment horizontal="left"/>
    </xf>
    <xf numFmtId="0" fontId="1" fillId="2" borderId="0" xfId="0" applyFont="1" applyFill="1" applyBorder="1" applyAlignment="1">
      <alignment horizontal="left"/>
    </xf>
    <xf numFmtId="0" fontId="6" fillId="2" borderId="4" xfId="0" applyFont="1" applyFill="1" applyBorder="1" applyAlignment="1">
      <alignment horizontal="left"/>
    </xf>
    <xf numFmtId="0" fontId="6" fillId="2" borderId="3" xfId="0" applyFont="1" applyFill="1" applyBorder="1" applyAlignment="1">
      <alignment horizontal="left"/>
    </xf>
    <xf numFmtId="0" fontId="6" fillId="2" borderId="5" xfId="0" applyFont="1" applyFill="1" applyBorder="1" applyAlignment="1">
      <alignment horizontal="left"/>
    </xf>
    <xf numFmtId="0" fontId="6" fillId="2" borderId="8" xfId="0" applyFont="1" applyFill="1" applyBorder="1" applyAlignment="1">
      <alignment horizontal="left"/>
    </xf>
    <xf numFmtId="0" fontId="6" fillId="2" borderId="2" xfId="0" applyFont="1" applyFill="1" applyBorder="1" applyAlignment="1">
      <alignment horizontal="left"/>
    </xf>
    <xf numFmtId="0" fontId="6" fillId="2" borderId="9" xfId="0" applyFont="1" applyFill="1" applyBorder="1" applyAlignment="1">
      <alignment horizontal="left"/>
    </xf>
    <xf numFmtId="0" fontId="2" fillId="2" borderId="3" xfId="0" applyFont="1" applyFill="1" applyBorder="1" applyAlignment="1">
      <alignment horizontal="left" vertical="center" wrapText="1"/>
    </xf>
    <xf numFmtId="0" fontId="6" fillId="2" borderId="10"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49" fontId="2" fillId="2" borderId="2" xfId="0" applyNumberFormat="1" applyFont="1" applyFill="1" applyBorder="1" applyAlignment="1">
      <alignment horizontal="left"/>
    </xf>
    <xf numFmtId="49" fontId="2" fillId="2" borderId="0" xfId="0" applyNumberFormat="1" applyFont="1" applyFill="1" applyAlignment="1">
      <alignment horizontal="left"/>
    </xf>
    <xf numFmtId="0" fontId="2" fillId="2" borderId="0" xfId="0" applyFont="1" applyFill="1" applyAlignment="1">
      <alignment horizontal="left"/>
    </xf>
    <xf numFmtId="0" fontId="2" fillId="2" borderId="0" xfId="0" applyFont="1" applyFill="1" applyAlignment="1">
      <alignment horizontal="center"/>
    </xf>
    <xf numFmtId="0" fontId="6" fillId="2" borderId="0" xfId="0" applyFont="1" applyFill="1" applyAlignment="1">
      <alignment horizontal="left"/>
    </xf>
  </cellXfs>
  <cellStyles count="2">
    <cellStyle name="Normal" xfId="0" builtinId="0"/>
    <cellStyle name="Normal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marker>
            <c:symbol val="none"/>
          </c:marker>
          <c:cat>
            <c:numRef>
              <c:f>'Fig 1 and 2'!$K$3:$K$58</c:f>
              <c:numCache>
                <c:formatCode>General</c:formatCode>
                <c:ptCount val="5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numCache>
            </c:numRef>
          </c:cat>
          <c:val>
            <c:numRef>
              <c:f>'Fig 1 and 2'!$M$3:$M$58</c:f>
              <c:numCache>
                <c:formatCode>#,##0</c:formatCode>
                <c:ptCount val="56"/>
                <c:pt idx="0">
                  <c:v>60096</c:v>
                </c:pt>
                <c:pt idx="1">
                  <c:v>59755</c:v>
                </c:pt>
                <c:pt idx="2">
                  <c:v>61087</c:v>
                </c:pt>
                <c:pt idx="3">
                  <c:v>39224</c:v>
                </c:pt>
                <c:pt idx="4">
                  <c:v>43562</c:v>
                </c:pt>
                <c:pt idx="5">
                  <c:v>49882</c:v>
                </c:pt>
                <c:pt idx="6">
                  <c:v>51674</c:v>
                </c:pt>
                <c:pt idx="7">
                  <c:v>55707</c:v>
                </c:pt>
                <c:pt idx="8">
                  <c:v>51861</c:v>
                </c:pt>
                <c:pt idx="9">
                  <c:v>57786</c:v>
                </c:pt>
                <c:pt idx="10">
                  <c:v>54673</c:v>
                </c:pt>
                <c:pt idx="11">
                  <c:v>42886</c:v>
                </c:pt>
                <c:pt idx="12">
                  <c:v>50946</c:v>
                </c:pt>
                <c:pt idx="13">
                  <c:v>51686</c:v>
                </c:pt>
                <c:pt idx="14">
                  <c:v>55284</c:v>
                </c:pt>
                <c:pt idx="15">
                  <c:v>42629</c:v>
                </c:pt>
                <c:pt idx="16">
                  <c:v>30453</c:v>
                </c:pt>
                <c:pt idx="17">
                  <c:v>32526</c:v>
                </c:pt>
                <c:pt idx="18">
                  <c:v>34258</c:v>
                </c:pt>
                <c:pt idx="19">
                  <c:v>32528</c:v>
                </c:pt>
                <c:pt idx="20">
                  <c:v>33186</c:v>
                </c:pt>
                <c:pt idx="21">
                  <c:v>31703</c:v>
                </c:pt>
                <c:pt idx="22">
                  <c:v>32024</c:v>
                </c:pt>
                <c:pt idx="23">
                  <c:v>33393</c:v>
                </c:pt>
                <c:pt idx="24">
                  <c:v>30389</c:v>
                </c:pt>
                <c:pt idx="25">
                  <c:v>29647</c:v>
                </c:pt>
                <c:pt idx="26">
                  <c:v>28486</c:v>
                </c:pt>
                <c:pt idx="27">
                  <c:v>28359</c:v>
                </c:pt>
                <c:pt idx="28">
                  <c:v>27304</c:v>
                </c:pt>
                <c:pt idx="29">
                  <c:v>29221</c:v>
                </c:pt>
                <c:pt idx="30">
                  <c:v>30051</c:v>
                </c:pt>
                <c:pt idx="31">
                  <c:v>31132</c:v>
                </c:pt>
                <c:pt idx="32">
                  <c:v>31567</c:v>
                </c:pt>
                <c:pt idx="33">
                  <c:v>32044</c:v>
                </c:pt>
                <c:pt idx="34">
                  <c:v>32072</c:v>
                </c:pt>
                <c:pt idx="35">
                  <c:v>30150</c:v>
                </c:pt>
                <c:pt idx="36">
                  <c:v>30536</c:v>
                </c:pt>
                <c:pt idx="37">
                  <c:v>26402</c:v>
                </c:pt>
                <c:pt idx="38">
                  <c:v>25316</c:v>
                </c:pt>
                <c:pt idx="39">
                  <c:v>27486</c:v>
                </c:pt>
                <c:pt idx="40">
                  <c:v>26967</c:v>
                </c:pt>
                <c:pt idx="41">
                  <c:v>27416</c:v>
                </c:pt>
                <c:pt idx="42">
                  <c:v>26576</c:v>
                </c:pt>
                <c:pt idx="43">
                  <c:v>27918</c:v>
                </c:pt>
                <c:pt idx="44">
                  <c:v>26817</c:v>
                </c:pt>
                <c:pt idx="45">
                  <c:v>27481</c:v>
                </c:pt>
                <c:pt idx="46">
                  <c:v>28654</c:v>
                </c:pt>
                <c:pt idx="47">
                  <c:v>28527</c:v>
                </c:pt>
                <c:pt idx="48">
                  <c:v>31046</c:v>
                </c:pt>
                <c:pt idx="49">
                  <c:v>31067</c:v>
                </c:pt>
                <c:pt idx="50">
                  <c:v>21372</c:v>
                </c:pt>
                <c:pt idx="51">
                  <c:v>19755</c:v>
                </c:pt>
                <c:pt idx="52">
                  <c:v>18344</c:v>
                </c:pt>
                <c:pt idx="53">
                  <c:v>17551</c:v>
                </c:pt>
                <c:pt idx="54" formatCode="General">
                  <c:v>18317</c:v>
                </c:pt>
                <c:pt idx="55" formatCode="General">
                  <c:v>19375</c:v>
                </c:pt>
              </c:numCache>
            </c:numRef>
          </c:val>
          <c:smooth val="0"/>
          <c:extLst>
            <c:ext xmlns:c16="http://schemas.microsoft.com/office/drawing/2014/chart" uri="{C3380CC4-5D6E-409C-BE32-E72D297353CC}">
              <c16:uniqueId val="{00000000-4AED-4EDD-B8E1-AA144B223FAA}"/>
            </c:ext>
          </c:extLst>
        </c:ser>
        <c:dLbls>
          <c:showLegendKey val="0"/>
          <c:showVal val="0"/>
          <c:showCatName val="0"/>
          <c:showSerName val="0"/>
          <c:showPercent val="0"/>
          <c:showBubbleSize val="0"/>
        </c:dLbls>
        <c:smooth val="0"/>
        <c:axId val="197291944"/>
        <c:axId val="330333752"/>
      </c:lineChart>
      <c:catAx>
        <c:axId val="197291944"/>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0333752"/>
        <c:crosses val="autoZero"/>
        <c:auto val="1"/>
        <c:lblAlgn val="ctr"/>
        <c:lblOffset val="100"/>
        <c:noMultiLvlLbl val="0"/>
      </c:catAx>
      <c:valAx>
        <c:axId val="330333752"/>
        <c:scaling>
          <c:orientation val="minMax"/>
        </c:scaling>
        <c:delete val="0"/>
        <c:axPos val="l"/>
        <c:title>
          <c:tx>
            <c:rich>
              <a:bodyPr rot="-5400000" vert="horz"/>
              <a:lstStyle/>
              <a:p>
                <a:pPr>
                  <a:defRPr/>
                </a:pPr>
                <a:r>
                  <a:rPr lang="en-US"/>
                  <a:t>U.S. army</a:t>
                </a:r>
                <a:r>
                  <a:rPr lang="en-US" baseline="0"/>
                  <a:t> personnel</a:t>
                </a:r>
                <a:endParaRPr lang="en-US"/>
              </a:p>
            </c:rich>
          </c:tx>
          <c:layout/>
          <c:overlay val="0"/>
        </c:title>
        <c:numFmt formatCode="#,##0" sourceLinked="1"/>
        <c:majorTickMark val="out"/>
        <c:minorTickMark val="none"/>
        <c:tickLblPos val="nextTo"/>
        <c:crossAx val="197291944"/>
        <c:crosses val="autoZero"/>
        <c:crossBetween val="midCat"/>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invertIfNegative val="0"/>
          <c:cat>
            <c:numRef>
              <c:f>'Fig 1 and 2'!$K$3:$K$58</c:f>
              <c:numCache>
                <c:formatCode>General</c:formatCode>
                <c:ptCount val="5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numCache>
            </c:numRef>
          </c:cat>
          <c:val>
            <c:numRef>
              <c:f>'Fig 1 and 2'!$P$3:$P$58</c:f>
              <c:numCache>
                <c:formatCode>0.00%</c:formatCode>
                <c:ptCount val="56"/>
                <c:pt idx="0">
                  <c:v>-0.63524463300497103</c:v>
                </c:pt>
                <c:pt idx="1">
                  <c:v>-5.6742545260916044E-3</c:v>
                </c:pt>
                <c:pt idx="2">
                  <c:v>2.2291021671826616E-2</c:v>
                </c:pt>
                <c:pt idx="3">
                  <c:v>-0.35789938939545241</c:v>
                </c:pt>
                <c:pt idx="4">
                  <c:v>0.11059555374260666</c:v>
                </c:pt>
                <c:pt idx="5">
                  <c:v>0.14508057481291026</c:v>
                </c:pt>
                <c:pt idx="6">
                  <c:v>3.5924782486668638E-2</c:v>
                </c:pt>
                <c:pt idx="7">
                  <c:v>7.8046986879281688E-2</c:v>
                </c:pt>
                <c:pt idx="8">
                  <c:v>-6.9039797511982304E-2</c:v>
                </c:pt>
                <c:pt idx="9">
                  <c:v>0.11424770058425415</c:v>
                </c:pt>
                <c:pt idx="10">
                  <c:v>-5.3871179870556896E-2</c:v>
                </c:pt>
                <c:pt idx="11">
                  <c:v>-0.2155908766667276</c:v>
                </c:pt>
                <c:pt idx="12">
                  <c:v>0.18794012031898522</c:v>
                </c:pt>
                <c:pt idx="13">
                  <c:v>1.4525183527656749E-2</c:v>
                </c:pt>
                <c:pt idx="14">
                  <c:v>6.9612661068761295E-2</c:v>
                </c:pt>
                <c:pt idx="15">
                  <c:v>-0.22890890673612618</c:v>
                </c:pt>
                <c:pt idx="16">
                  <c:v>-0.28562715522297033</c:v>
                </c:pt>
                <c:pt idx="17">
                  <c:v>6.8072111122057022E-2</c:v>
                </c:pt>
                <c:pt idx="18">
                  <c:v>5.3249707925966838E-2</c:v>
                </c:pt>
                <c:pt idx="19">
                  <c:v>-5.0499153482398307E-2</c:v>
                </c:pt>
                <c:pt idx="20">
                  <c:v>2.022872602065906E-2</c:v>
                </c:pt>
                <c:pt idx="21">
                  <c:v>-4.4687518833242956E-2</c:v>
                </c:pt>
                <c:pt idx="22">
                  <c:v>1.012522474213795E-2</c:v>
                </c:pt>
                <c:pt idx="23">
                  <c:v>4.2749188108918368E-2</c:v>
                </c:pt>
                <c:pt idx="24">
                  <c:v>-8.9958973437546774E-2</c:v>
                </c:pt>
                <c:pt idx="25">
                  <c:v>-2.4416729737734011E-2</c:v>
                </c:pt>
                <c:pt idx="26">
                  <c:v>-3.9160791985698329E-2</c:v>
                </c:pt>
                <c:pt idx="27">
                  <c:v>-4.4583304079196528E-3</c:v>
                </c:pt>
                <c:pt idx="28">
                  <c:v>-3.7201593850276771E-2</c:v>
                </c:pt>
                <c:pt idx="29">
                  <c:v>7.0209493114562038E-2</c:v>
                </c:pt>
                <c:pt idx="30">
                  <c:v>2.8404229834707806E-2</c:v>
                </c:pt>
                <c:pt idx="31">
                  <c:v>3.5972180626268724E-2</c:v>
                </c:pt>
                <c:pt idx="32">
                  <c:v>1.3972761146087587E-2</c:v>
                </c:pt>
                <c:pt idx="33">
                  <c:v>1.5110716887889231E-2</c:v>
                </c:pt>
                <c:pt idx="34">
                  <c:v>8.7379852702529348E-4</c:v>
                </c:pt>
                <c:pt idx="35">
                  <c:v>-5.9927662758792688E-2</c:v>
                </c:pt>
                <c:pt idx="36">
                  <c:v>1.2802653399668351E-2</c:v>
                </c:pt>
                <c:pt idx="37">
                  <c:v>-0.1353811894157716</c:v>
                </c:pt>
                <c:pt idx="38">
                  <c:v>-4.1133247481251467E-2</c:v>
                </c:pt>
                <c:pt idx="39">
                  <c:v>8.5716542897772197E-2</c:v>
                </c:pt>
                <c:pt idx="40">
                  <c:v>-1.8882340100414785E-2</c:v>
                </c:pt>
                <c:pt idx="41">
                  <c:v>1.6649979604701937E-2</c:v>
                </c:pt>
                <c:pt idx="42">
                  <c:v>-3.0639042894660018E-2</c:v>
                </c:pt>
                <c:pt idx="43">
                  <c:v>5.0496688741721751E-2</c:v>
                </c:pt>
                <c:pt idx="44">
                  <c:v>-3.9436922415645781E-2</c:v>
                </c:pt>
                <c:pt idx="45">
                  <c:v>2.4760413170749951E-2</c:v>
                </c:pt>
                <c:pt idx="46">
                  <c:v>4.2684036243222589E-2</c:v>
                </c:pt>
                <c:pt idx="47">
                  <c:v>-4.432190968102212E-3</c:v>
                </c:pt>
                <c:pt idx="48">
                  <c:v>8.8302310092193359E-2</c:v>
                </c:pt>
                <c:pt idx="49">
                  <c:v>6.7641564130638265E-4</c:v>
                </c:pt>
                <c:pt idx="50">
                  <c:v>-0.31206746708726296</c:v>
                </c:pt>
                <c:pt idx="51">
                  <c:v>-7.5659741718135831E-2</c:v>
                </c:pt>
                <c:pt idx="52">
                  <c:v>-7.1424955707415805E-2</c:v>
                </c:pt>
                <c:pt idx="53">
                  <c:v>-4.3229393807239447E-2</c:v>
                </c:pt>
                <c:pt idx="54">
                  <c:v>4.3644236795624236E-2</c:v>
                </c:pt>
                <c:pt idx="55">
                  <c:v>5.7760550308456615E-2</c:v>
                </c:pt>
              </c:numCache>
            </c:numRef>
          </c:val>
          <c:extLst>
            <c:ext xmlns:c16="http://schemas.microsoft.com/office/drawing/2014/chart" uri="{C3380CC4-5D6E-409C-BE32-E72D297353CC}">
              <c16:uniqueId val="{00000000-1E89-4245-ADD8-886BED837C2B}"/>
            </c:ext>
          </c:extLst>
        </c:ser>
        <c:dLbls>
          <c:showLegendKey val="0"/>
          <c:showVal val="0"/>
          <c:showCatName val="0"/>
          <c:showSerName val="0"/>
          <c:showPercent val="0"/>
          <c:showBubbleSize val="0"/>
        </c:dLbls>
        <c:gapWidth val="150"/>
        <c:axId val="330290776"/>
        <c:axId val="330287640"/>
      </c:barChart>
      <c:catAx>
        <c:axId val="330290776"/>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low"/>
        <c:crossAx val="330287640"/>
        <c:crosses val="autoZero"/>
        <c:auto val="1"/>
        <c:lblAlgn val="ctr"/>
        <c:lblOffset val="100"/>
        <c:noMultiLvlLbl val="0"/>
      </c:catAx>
      <c:valAx>
        <c:axId val="330287640"/>
        <c:scaling>
          <c:orientation val="minMax"/>
        </c:scaling>
        <c:delete val="0"/>
        <c:axPos val="l"/>
        <c:title>
          <c:tx>
            <c:rich>
              <a:bodyPr rot="-5400000" vert="horz"/>
              <a:lstStyle/>
              <a:p>
                <a:pPr>
                  <a:defRPr/>
                </a:pPr>
                <a:r>
                  <a:rPr lang="en-US"/>
                  <a:t>Percent Change in U.S. army personnel</a:t>
                </a:r>
              </a:p>
            </c:rich>
          </c:tx>
          <c:layout/>
          <c:overlay val="0"/>
        </c:title>
        <c:numFmt formatCode="0%" sourceLinked="0"/>
        <c:majorTickMark val="out"/>
        <c:minorTickMark val="none"/>
        <c:tickLblPos val="nextTo"/>
        <c:crossAx val="330290776"/>
        <c:crosses val="autoZero"/>
        <c:crossBetween val="midCat"/>
      </c:valAx>
    </c:plotArea>
    <c:plotVisOnly val="1"/>
    <c:dispBlanksAs val="gap"/>
    <c:showDLblsOverMax val="0"/>
  </c:chart>
  <c:spPr>
    <a:noFill/>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1"/>
          <c:order val="1"/>
          <c:tx>
            <c:v>MIDs</c:v>
          </c:tx>
          <c:invertIfNegative val="0"/>
          <c:val>
            <c:numRef>
              <c:f>'Fig 3 and 4'!$U$2:$U$57</c:f>
              <c:numCache>
                <c:formatCode>0</c:formatCode>
                <c:ptCount val="56"/>
                <c:pt idx="0">
                  <c:v>2</c:v>
                </c:pt>
                <c:pt idx="1">
                  <c:v>0</c:v>
                </c:pt>
                <c:pt idx="2">
                  <c:v>0</c:v>
                </c:pt>
                <c:pt idx="3">
                  <c:v>3</c:v>
                </c:pt>
                <c:pt idx="4">
                  <c:v>3</c:v>
                </c:pt>
                <c:pt idx="5">
                  <c:v>2</c:v>
                </c:pt>
                <c:pt idx="6">
                  <c:v>2</c:v>
                </c:pt>
                <c:pt idx="7">
                  <c:v>3</c:v>
                </c:pt>
                <c:pt idx="8">
                  <c:v>3</c:v>
                </c:pt>
                <c:pt idx="9">
                  <c:v>3</c:v>
                </c:pt>
                <c:pt idx="10">
                  <c:v>1</c:v>
                </c:pt>
                <c:pt idx="11">
                  <c:v>2</c:v>
                </c:pt>
                <c:pt idx="12">
                  <c:v>1</c:v>
                </c:pt>
                <c:pt idx="13">
                  <c:v>1</c:v>
                </c:pt>
                <c:pt idx="14">
                  <c:v>1</c:v>
                </c:pt>
                <c:pt idx="15">
                  <c:v>1</c:v>
                </c:pt>
                <c:pt idx="16">
                  <c:v>0</c:v>
                </c:pt>
                <c:pt idx="17">
                  <c:v>0</c:v>
                </c:pt>
                <c:pt idx="18">
                  <c:v>0</c:v>
                </c:pt>
                <c:pt idx="19">
                  <c:v>1</c:v>
                </c:pt>
                <c:pt idx="20">
                  <c:v>1</c:v>
                </c:pt>
                <c:pt idx="21">
                  <c:v>3</c:v>
                </c:pt>
                <c:pt idx="22">
                  <c:v>2</c:v>
                </c:pt>
                <c:pt idx="23">
                  <c:v>1</c:v>
                </c:pt>
                <c:pt idx="24">
                  <c:v>1</c:v>
                </c:pt>
                <c:pt idx="25">
                  <c:v>0</c:v>
                </c:pt>
                <c:pt idx="26">
                  <c:v>2</c:v>
                </c:pt>
                <c:pt idx="27">
                  <c:v>3</c:v>
                </c:pt>
                <c:pt idx="28">
                  <c:v>3</c:v>
                </c:pt>
                <c:pt idx="29">
                  <c:v>0</c:v>
                </c:pt>
                <c:pt idx="30">
                  <c:v>4</c:v>
                </c:pt>
                <c:pt idx="31">
                  <c:v>2</c:v>
                </c:pt>
                <c:pt idx="32">
                  <c:v>1</c:v>
                </c:pt>
                <c:pt idx="33">
                  <c:v>0</c:v>
                </c:pt>
                <c:pt idx="34">
                  <c:v>1</c:v>
                </c:pt>
                <c:pt idx="35">
                  <c:v>1</c:v>
                </c:pt>
                <c:pt idx="36">
                  <c:v>1</c:v>
                </c:pt>
                <c:pt idx="37">
                  <c:v>1</c:v>
                </c:pt>
                <c:pt idx="38">
                  <c:v>5</c:v>
                </c:pt>
                <c:pt idx="39">
                  <c:v>2</c:v>
                </c:pt>
                <c:pt idx="40">
                  <c:v>1</c:v>
                </c:pt>
                <c:pt idx="41">
                  <c:v>1</c:v>
                </c:pt>
                <c:pt idx="42">
                  <c:v>2</c:v>
                </c:pt>
                <c:pt idx="43">
                  <c:v>0</c:v>
                </c:pt>
                <c:pt idx="44">
                  <c:v>4</c:v>
                </c:pt>
                <c:pt idx="45">
                  <c:v>2</c:v>
                </c:pt>
                <c:pt idx="46">
                  <c:v>2</c:v>
                </c:pt>
                <c:pt idx="47">
                  <c:v>4</c:v>
                </c:pt>
                <c:pt idx="48">
                  <c:v>4</c:v>
                </c:pt>
                <c:pt idx="49">
                  <c:v>2</c:v>
                </c:pt>
                <c:pt idx="50">
                  <c:v>2</c:v>
                </c:pt>
                <c:pt idx="51">
                  <c:v>1</c:v>
                </c:pt>
                <c:pt idx="52">
                  <c:v>1</c:v>
                </c:pt>
                <c:pt idx="53">
                  <c:v>1</c:v>
                </c:pt>
                <c:pt idx="54">
                  <c:v>1</c:v>
                </c:pt>
                <c:pt idx="55">
                  <c:v>2</c:v>
                </c:pt>
              </c:numCache>
            </c:numRef>
          </c:val>
          <c:extLst>
            <c:ext xmlns:c16="http://schemas.microsoft.com/office/drawing/2014/chart" uri="{C3380CC4-5D6E-409C-BE32-E72D297353CC}">
              <c16:uniqueId val="{00000000-18C8-4758-8DFC-F65AF2C7A6D1}"/>
            </c:ext>
          </c:extLst>
        </c:ser>
        <c:dLbls>
          <c:showLegendKey val="0"/>
          <c:showVal val="0"/>
          <c:showCatName val="0"/>
          <c:showSerName val="0"/>
          <c:showPercent val="0"/>
          <c:showBubbleSize val="0"/>
        </c:dLbls>
        <c:gapWidth val="150"/>
        <c:axId val="330288816"/>
        <c:axId val="330287248"/>
      </c:barChart>
      <c:lineChart>
        <c:grouping val="standard"/>
        <c:varyColors val="0"/>
        <c:ser>
          <c:idx val="0"/>
          <c:order val="0"/>
          <c:marker>
            <c:symbol val="none"/>
          </c:marker>
          <c:cat>
            <c:numRef>
              <c:f>'Fig 3 and 4'!$O$2:$O$57</c:f>
              <c:numCache>
                <c:formatCode>General</c:formatCode>
                <c:ptCount val="5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numCache>
            </c:numRef>
          </c:cat>
          <c:val>
            <c:numRef>
              <c:f>'Fig 3 and 4'!$Q$2:$Q$57</c:f>
              <c:numCache>
                <c:formatCode>#,##0</c:formatCode>
                <c:ptCount val="56"/>
                <c:pt idx="0">
                  <c:v>60096</c:v>
                </c:pt>
                <c:pt idx="1">
                  <c:v>59755</c:v>
                </c:pt>
                <c:pt idx="2">
                  <c:v>61087</c:v>
                </c:pt>
                <c:pt idx="3">
                  <c:v>39224</c:v>
                </c:pt>
                <c:pt idx="4">
                  <c:v>43562</c:v>
                </c:pt>
                <c:pt idx="5">
                  <c:v>49882</c:v>
                </c:pt>
                <c:pt idx="6">
                  <c:v>51674</c:v>
                </c:pt>
                <c:pt idx="7">
                  <c:v>55707</c:v>
                </c:pt>
                <c:pt idx="8">
                  <c:v>51861</c:v>
                </c:pt>
                <c:pt idx="9">
                  <c:v>57786</c:v>
                </c:pt>
                <c:pt idx="10">
                  <c:v>54673</c:v>
                </c:pt>
                <c:pt idx="11">
                  <c:v>42886</c:v>
                </c:pt>
                <c:pt idx="12">
                  <c:v>50946</c:v>
                </c:pt>
                <c:pt idx="13">
                  <c:v>51686</c:v>
                </c:pt>
                <c:pt idx="14">
                  <c:v>55284</c:v>
                </c:pt>
                <c:pt idx="15">
                  <c:v>42629</c:v>
                </c:pt>
                <c:pt idx="16">
                  <c:v>30453</c:v>
                </c:pt>
                <c:pt idx="17">
                  <c:v>32526</c:v>
                </c:pt>
                <c:pt idx="18">
                  <c:v>34258</c:v>
                </c:pt>
                <c:pt idx="19">
                  <c:v>32528</c:v>
                </c:pt>
                <c:pt idx="20">
                  <c:v>33186</c:v>
                </c:pt>
                <c:pt idx="21">
                  <c:v>31703</c:v>
                </c:pt>
                <c:pt idx="22">
                  <c:v>32024</c:v>
                </c:pt>
                <c:pt idx="23">
                  <c:v>33393</c:v>
                </c:pt>
                <c:pt idx="24">
                  <c:v>30389</c:v>
                </c:pt>
                <c:pt idx="25">
                  <c:v>29647</c:v>
                </c:pt>
                <c:pt idx="26">
                  <c:v>28486</c:v>
                </c:pt>
                <c:pt idx="27">
                  <c:v>28359</c:v>
                </c:pt>
                <c:pt idx="28">
                  <c:v>27304</c:v>
                </c:pt>
                <c:pt idx="29">
                  <c:v>29221</c:v>
                </c:pt>
                <c:pt idx="30">
                  <c:v>30051</c:v>
                </c:pt>
                <c:pt idx="31">
                  <c:v>31132</c:v>
                </c:pt>
                <c:pt idx="32">
                  <c:v>31567</c:v>
                </c:pt>
                <c:pt idx="33">
                  <c:v>32044</c:v>
                </c:pt>
                <c:pt idx="34">
                  <c:v>32072</c:v>
                </c:pt>
                <c:pt idx="35">
                  <c:v>30150</c:v>
                </c:pt>
                <c:pt idx="36">
                  <c:v>30536</c:v>
                </c:pt>
                <c:pt idx="37">
                  <c:v>26402</c:v>
                </c:pt>
                <c:pt idx="38">
                  <c:v>25316</c:v>
                </c:pt>
                <c:pt idx="39">
                  <c:v>27486</c:v>
                </c:pt>
                <c:pt idx="40">
                  <c:v>26967</c:v>
                </c:pt>
                <c:pt idx="41">
                  <c:v>27416</c:v>
                </c:pt>
                <c:pt idx="42">
                  <c:v>26576</c:v>
                </c:pt>
                <c:pt idx="43">
                  <c:v>27918</c:v>
                </c:pt>
                <c:pt idx="44">
                  <c:v>26817</c:v>
                </c:pt>
                <c:pt idx="45">
                  <c:v>27481</c:v>
                </c:pt>
                <c:pt idx="46">
                  <c:v>28654</c:v>
                </c:pt>
                <c:pt idx="47">
                  <c:v>28527</c:v>
                </c:pt>
                <c:pt idx="48">
                  <c:v>31046</c:v>
                </c:pt>
                <c:pt idx="49">
                  <c:v>31067</c:v>
                </c:pt>
                <c:pt idx="50">
                  <c:v>21372</c:v>
                </c:pt>
                <c:pt idx="51">
                  <c:v>19755</c:v>
                </c:pt>
                <c:pt idx="52">
                  <c:v>18344</c:v>
                </c:pt>
                <c:pt idx="53">
                  <c:v>17551</c:v>
                </c:pt>
                <c:pt idx="54" formatCode="General">
                  <c:v>18317</c:v>
                </c:pt>
                <c:pt idx="55" formatCode="General">
                  <c:v>19375</c:v>
                </c:pt>
              </c:numCache>
            </c:numRef>
          </c:val>
          <c:smooth val="0"/>
          <c:extLst>
            <c:ext xmlns:c16="http://schemas.microsoft.com/office/drawing/2014/chart" uri="{C3380CC4-5D6E-409C-BE32-E72D297353CC}">
              <c16:uniqueId val="{00000001-18C8-4758-8DFC-F65AF2C7A6D1}"/>
            </c:ext>
          </c:extLst>
        </c:ser>
        <c:dLbls>
          <c:showLegendKey val="0"/>
          <c:showVal val="0"/>
          <c:showCatName val="0"/>
          <c:showSerName val="0"/>
          <c:showPercent val="0"/>
          <c:showBubbleSize val="0"/>
        </c:dLbls>
        <c:marker val="1"/>
        <c:smooth val="0"/>
        <c:axId val="330289992"/>
        <c:axId val="330288424"/>
      </c:lineChart>
      <c:catAx>
        <c:axId val="330289992"/>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0288424"/>
        <c:crosses val="autoZero"/>
        <c:auto val="1"/>
        <c:lblAlgn val="ctr"/>
        <c:lblOffset val="100"/>
        <c:noMultiLvlLbl val="0"/>
      </c:catAx>
      <c:valAx>
        <c:axId val="330288424"/>
        <c:scaling>
          <c:orientation val="minMax"/>
        </c:scaling>
        <c:delete val="0"/>
        <c:axPos val="l"/>
        <c:title>
          <c:tx>
            <c:rich>
              <a:bodyPr rot="-5400000" vert="horz"/>
              <a:lstStyle/>
              <a:p>
                <a:pPr>
                  <a:defRPr/>
                </a:pPr>
                <a:r>
                  <a:rPr lang="en-US"/>
                  <a:t>U.S. army personnel</a:t>
                </a:r>
              </a:p>
            </c:rich>
          </c:tx>
          <c:layout/>
          <c:overlay val="0"/>
        </c:title>
        <c:numFmt formatCode="#,##0" sourceLinked="1"/>
        <c:majorTickMark val="out"/>
        <c:minorTickMark val="none"/>
        <c:tickLblPos val="nextTo"/>
        <c:crossAx val="330289992"/>
        <c:crosses val="autoZero"/>
        <c:crossBetween val="midCat"/>
      </c:valAx>
      <c:valAx>
        <c:axId val="330287248"/>
        <c:scaling>
          <c:orientation val="minMax"/>
        </c:scaling>
        <c:delete val="0"/>
        <c:axPos val="r"/>
        <c:title>
          <c:tx>
            <c:rich>
              <a:bodyPr rot="-5400000" vert="horz"/>
              <a:lstStyle/>
              <a:p>
                <a:pPr>
                  <a:defRPr/>
                </a:pPr>
                <a:r>
                  <a:rPr lang="en-US"/>
                  <a:t>Militarized Interstate Disputes</a:t>
                </a:r>
              </a:p>
            </c:rich>
          </c:tx>
          <c:layout/>
          <c:overlay val="0"/>
        </c:title>
        <c:numFmt formatCode="0" sourceLinked="1"/>
        <c:majorTickMark val="out"/>
        <c:minorTickMark val="none"/>
        <c:tickLblPos val="nextTo"/>
        <c:crossAx val="330288816"/>
        <c:crosses val="max"/>
        <c:crossBetween val="between"/>
      </c:valAx>
      <c:catAx>
        <c:axId val="330288816"/>
        <c:scaling>
          <c:orientation val="minMax"/>
        </c:scaling>
        <c:delete val="1"/>
        <c:axPos val="b"/>
        <c:majorTickMark val="out"/>
        <c:minorTickMark val="none"/>
        <c:tickLblPos val="nextTo"/>
        <c:crossAx val="330287248"/>
        <c:crosses val="autoZero"/>
        <c:auto val="1"/>
        <c:lblAlgn val="ctr"/>
        <c:lblOffset val="100"/>
        <c:noMultiLvlLbl val="0"/>
      </c:cat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v>Pre-redeployment</c:v>
          </c:tx>
          <c:invertIfNegative val="0"/>
          <c:cat>
            <c:strRef>
              <c:f>'Fig 3 and 4'!$A$61:$A$66</c:f>
              <c:strCache>
                <c:ptCount val="6"/>
                <c:pt idx="0">
                  <c:v>1969-1971: 1 year</c:v>
                </c:pt>
                <c:pt idx="1">
                  <c:v>1969-1971: 3 years</c:v>
                </c:pt>
                <c:pt idx="2">
                  <c:v>1969-1971: 5 years</c:v>
                </c:pt>
                <c:pt idx="3">
                  <c:v>2004-2005: 1 year</c:v>
                </c:pt>
                <c:pt idx="4">
                  <c:v>2004-2005: 3 years</c:v>
                </c:pt>
                <c:pt idx="5">
                  <c:v>2004-2005: 5 years</c:v>
                </c:pt>
              </c:strCache>
            </c:strRef>
          </c:cat>
          <c:val>
            <c:numRef>
              <c:f>'Fig 3 and 4'!$C$61:$C$66</c:f>
              <c:numCache>
                <c:formatCode>General</c:formatCode>
                <c:ptCount val="6"/>
                <c:pt idx="0">
                  <c:v>1</c:v>
                </c:pt>
                <c:pt idx="1">
                  <c:v>4</c:v>
                </c:pt>
                <c:pt idx="2">
                  <c:v>8</c:v>
                </c:pt>
                <c:pt idx="3">
                  <c:v>4</c:v>
                </c:pt>
                <c:pt idx="4">
                  <c:v>10</c:v>
                </c:pt>
                <c:pt idx="5">
                  <c:v>16</c:v>
                </c:pt>
              </c:numCache>
            </c:numRef>
          </c:val>
          <c:extLst>
            <c:ext xmlns:c16="http://schemas.microsoft.com/office/drawing/2014/chart" uri="{C3380CC4-5D6E-409C-BE32-E72D297353CC}">
              <c16:uniqueId val="{00000000-C470-4B47-8515-B0ABB344D4E7}"/>
            </c:ext>
          </c:extLst>
        </c:ser>
        <c:ser>
          <c:idx val="1"/>
          <c:order val="1"/>
          <c:tx>
            <c:v>Post-redeployment</c:v>
          </c:tx>
          <c:invertIfNegative val="0"/>
          <c:val>
            <c:numRef>
              <c:f>'Fig 3 and 4'!$D$61:$D$66</c:f>
              <c:numCache>
                <c:formatCode>General</c:formatCode>
                <c:ptCount val="6"/>
                <c:pt idx="0">
                  <c:v>0</c:v>
                </c:pt>
                <c:pt idx="1">
                  <c:v>1</c:v>
                </c:pt>
                <c:pt idx="2">
                  <c:v>5</c:v>
                </c:pt>
                <c:pt idx="3">
                  <c:v>1</c:v>
                </c:pt>
                <c:pt idx="4">
                  <c:v>3</c:v>
                </c:pt>
                <c:pt idx="5">
                  <c:v>6</c:v>
                </c:pt>
              </c:numCache>
            </c:numRef>
          </c:val>
          <c:extLst>
            <c:ext xmlns:c16="http://schemas.microsoft.com/office/drawing/2014/chart" uri="{C3380CC4-5D6E-409C-BE32-E72D297353CC}">
              <c16:uniqueId val="{00000001-C470-4B47-8515-B0ABB344D4E7}"/>
            </c:ext>
          </c:extLst>
        </c:ser>
        <c:dLbls>
          <c:showLegendKey val="0"/>
          <c:showVal val="0"/>
          <c:showCatName val="0"/>
          <c:showSerName val="0"/>
          <c:showPercent val="0"/>
          <c:showBubbleSize val="0"/>
        </c:dLbls>
        <c:gapWidth val="150"/>
        <c:axId val="330289600"/>
        <c:axId val="330673344"/>
      </c:barChart>
      <c:catAx>
        <c:axId val="330289600"/>
        <c:scaling>
          <c:orientation val="minMax"/>
        </c:scaling>
        <c:delete val="0"/>
        <c:axPos val="b"/>
        <c:numFmt formatCode="General" sourceLinked="0"/>
        <c:majorTickMark val="out"/>
        <c:minorTickMark val="none"/>
        <c:tickLblPos val="nextTo"/>
        <c:crossAx val="330673344"/>
        <c:crosses val="autoZero"/>
        <c:auto val="1"/>
        <c:lblAlgn val="ctr"/>
        <c:lblOffset val="100"/>
        <c:noMultiLvlLbl val="0"/>
      </c:catAx>
      <c:valAx>
        <c:axId val="330673344"/>
        <c:scaling>
          <c:orientation val="minMax"/>
        </c:scaling>
        <c:delete val="0"/>
        <c:axPos val="l"/>
        <c:title>
          <c:tx>
            <c:rich>
              <a:bodyPr rot="-5400000" vert="horz"/>
              <a:lstStyle/>
              <a:p>
                <a:pPr>
                  <a:defRPr/>
                </a:pPr>
                <a:r>
                  <a:rPr lang="en-US"/>
                  <a:t>Militarized Interstate Disputes</a:t>
                </a:r>
              </a:p>
            </c:rich>
          </c:tx>
          <c:layout/>
          <c:overlay val="0"/>
        </c:title>
        <c:numFmt formatCode="General" sourceLinked="1"/>
        <c:majorTickMark val="out"/>
        <c:minorTickMark val="none"/>
        <c:tickLblPos val="nextTo"/>
        <c:crossAx val="330289600"/>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1"/>
          <c:order val="1"/>
          <c:tx>
            <c:v>MIDs</c:v>
          </c:tx>
          <c:invertIfNegative val="0"/>
          <c:val>
            <c:numRef>
              <c:f>'Fig 3 and 4'!$U$2:$U$57</c:f>
              <c:numCache>
                <c:formatCode>0</c:formatCode>
                <c:ptCount val="56"/>
                <c:pt idx="0">
                  <c:v>2</c:v>
                </c:pt>
                <c:pt idx="1">
                  <c:v>0</c:v>
                </c:pt>
                <c:pt idx="2">
                  <c:v>0</c:v>
                </c:pt>
                <c:pt idx="3">
                  <c:v>3</c:v>
                </c:pt>
                <c:pt idx="4">
                  <c:v>3</c:v>
                </c:pt>
                <c:pt idx="5">
                  <c:v>2</c:v>
                </c:pt>
                <c:pt idx="6">
                  <c:v>2</c:v>
                </c:pt>
                <c:pt idx="7">
                  <c:v>3</c:v>
                </c:pt>
                <c:pt idx="8">
                  <c:v>3</c:v>
                </c:pt>
                <c:pt idx="9">
                  <c:v>3</c:v>
                </c:pt>
                <c:pt idx="10">
                  <c:v>1</c:v>
                </c:pt>
                <c:pt idx="11">
                  <c:v>2</c:v>
                </c:pt>
                <c:pt idx="12">
                  <c:v>1</c:v>
                </c:pt>
                <c:pt idx="13">
                  <c:v>1</c:v>
                </c:pt>
                <c:pt idx="14">
                  <c:v>1</c:v>
                </c:pt>
                <c:pt idx="15">
                  <c:v>1</c:v>
                </c:pt>
                <c:pt idx="16">
                  <c:v>0</c:v>
                </c:pt>
                <c:pt idx="17">
                  <c:v>0</c:v>
                </c:pt>
                <c:pt idx="18">
                  <c:v>0</c:v>
                </c:pt>
                <c:pt idx="19">
                  <c:v>1</c:v>
                </c:pt>
                <c:pt idx="20">
                  <c:v>1</c:v>
                </c:pt>
                <c:pt idx="21">
                  <c:v>3</c:v>
                </c:pt>
                <c:pt idx="22">
                  <c:v>2</c:v>
                </c:pt>
                <c:pt idx="23">
                  <c:v>1</c:v>
                </c:pt>
                <c:pt idx="24">
                  <c:v>1</c:v>
                </c:pt>
                <c:pt idx="25">
                  <c:v>0</c:v>
                </c:pt>
                <c:pt idx="26">
                  <c:v>2</c:v>
                </c:pt>
                <c:pt idx="27">
                  <c:v>3</c:v>
                </c:pt>
                <c:pt idx="28">
                  <c:v>3</c:v>
                </c:pt>
                <c:pt idx="29">
                  <c:v>0</c:v>
                </c:pt>
                <c:pt idx="30">
                  <c:v>4</c:v>
                </c:pt>
                <c:pt idx="31">
                  <c:v>2</c:v>
                </c:pt>
                <c:pt idx="32">
                  <c:v>1</c:v>
                </c:pt>
                <c:pt idx="33">
                  <c:v>0</c:v>
                </c:pt>
                <c:pt idx="34">
                  <c:v>1</c:v>
                </c:pt>
                <c:pt idx="35">
                  <c:v>1</c:v>
                </c:pt>
                <c:pt idx="36">
                  <c:v>1</c:v>
                </c:pt>
                <c:pt idx="37">
                  <c:v>1</c:v>
                </c:pt>
                <c:pt idx="38">
                  <c:v>5</c:v>
                </c:pt>
                <c:pt idx="39">
                  <c:v>2</c:v>
                </c:pt>
                <c:pt idx="40">
                  <c:v>1</c:v>
                </c:pt>
                <c:pt idx="41">
                  <c:v>1</c:v>
                </c:pt>
                <c:pt idx="42">
                  <c:v>2</c:v>
                </c:pt>
                <c:pt idx="43">
                  <c:v>0</c:v>
                </c:pt>
                <c:pt idx="44">
                  <c:v>4</c:v>
                </c:pt>
                <c:pt idx="45">
                  <c:v>2</c:v>
                </c:pt>
                <c:pt idx="46">
                  <c:v>2</c:v>
                </c:pt>
                <c:pt idx="47">
                  <c:v>4</c:v>
                </c:pt>
                <c:pt idx="48">
                  <c:v>4</c:v>
                </c:pt>
                <c:pt idx="49">
                  <c:v>2</c:v>
                </c:pt>
                <c:pt idx="50">
                  <c:v>2</c:v>
                </c:pt>
                <c:pt idx="51">
                  <c:v>1</c:v>
                </c:pt>
                <c:pt idx="52">
                  <c:v>1</c:v>
                </c:pt>
                <c:pt idx="53">
                  <c:v>1</c:v>
                </c:pt>
                <c:pt idx="54">
                  <c:v>1</c:v>
                </c:pt>
                <c:pt idx="55">
                  <c:v>2</c:v>
                </c:pt>
              </c:numCache>
            </c:numRef>
          </c:val>
          <c:extLst>
            <c:ext xmlns:c16="http://schemas.microsoft.com/office/drawing/2014/chart" uri="{C3380CC4-5D6E-409C-BE32-E72D297353CC}">
              <c16:uniqueId val="{00000000-9294-4E73-81AC-9983B3695513}"/>
            </c:ext>
          </c:extLst>
        </c:ser>
        <c:dLbls>
          <c:showLegendKey val="0"/>
          <c:showVal val="0"/>
          <c:showCatName val="0"/>
          <c:showSerName val="0"/>
          <c:showPercent val="0"/>
          <c:showBubbleSize val="0"/>
        </c:dLbls>
        <c:gapWidth val="150"/>
        <c:axId val="330288816"/>
        <c:axId val="330287248"/>
      </c:barChart>
      <c:lineChart>
        <c:grouping val="standard"/>
        <c:varyColors val="0"/>
        <c:ser>
          <c:idx val="0"/>
          <c:order val="0"/>
          <c:marker>
            <c:symbol val="none"/>
          </c:marker>
          <c:cat>
            <c:numRef>
              <c:f>'Fig 3 and 4'!$O$2:$O$57</c:f>
              <c:numCache>
                <c:formatCode>General</c:formatCode>
                <c:ptCount val="5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numCache>
            </c:numRef>
          </c:cat>
          <c:val>
            <c:numRef>
              <c:f>'Fig 3 and 4'!$P$2:$P$57</c:f>
              <c:numCache>
                <c:formatCode>#,##0</c:formatCode>
                <c:ptCount val="56"/>
                <c:pt idx="0">
                  <c:v>75328</c:v>
                </c:pt>
                <c:pt idx="1">
                  <c:v>68810</c:v>
                </c:pt>
                <c:pt idx="2">
                  <c:v>71043</c:v>
                </c:pt>
                <c:pt idx="3">
                  <c:v>46024</c:v>
                </c:pt>
                <c:pt idx="4">
                  <c:v>49827</c:v>
                </c:pt>
                <c:pt idx="5">
                  <c:v>55864</c:v>
                </c:pt>
                <c:pt idx="6">
                  <c:v>57694</c:v>
                </c:pt>
                <c:pt idx="7">
                  <c:v>60947</c:v>
                </c:pt>
                <c:pt idx="8">
                  <c:v>56910</c:v>
                </c:pt>
                <c:pt idx="9">
                  <c:v>62596</c:v>
                </c:pt>
                <c:pt idx="10">
                  <c:v>58636</c:v>
                </c:pt>
                <c:pt idx="11">
                  <c:v>47076</c:v>
                </c:pt>
                <c:pt idx="12">
                  <c:v>55057</c:v>
                </c:pt>
                <c:pt idx="13">
                  <c:v>62416</c:v>
                </c:pt>
                <c:pt idx="14">
                  <c:v>66531</c:v>
                </c:pt>
                <c:pt idx="15">
                  <c:v>52283</c:v>
                </c:pt>
                <c:pt idx="16">
                  <c:v>40740</c:v>
                </c:pt>
                <c:pt idx="17">
                  <c:v>41600</c:v>
                </c:pt>
                <c:pt idx="18">
                  <c:v>41864</c:v>
                </c:pt>
                <c:pt idx="19">
                  <c:v>40878</c:v>
                </c:pt>
                <c:pt idx="20">
                  <c:v>41186</c:v>
                </c:pt>
                <c:pt idx="21">
                  <c:v>39133</c:v>
                </c:pt>
                <c:pt idx="22">
                  <c:v>40075</c:v>
                </c:pt>
                <c:pt idx="23">
                  <c:v>41565</c:v>
                </c:pt>
                <c:pt idx="24">
                  <c:v>39018</c:v>
                </c:pt>
                <c:pt idx="25">
                  <c:v>38780</c:v>
                </c:pt>
                <c:pt idx="26">
                  <c:v>38254</c:v>
                </c:pt>
                <c:pt idx="27">
                  <c:v>39194</c:v>
                </c:pt>
                <c:pt idx="28">
                  <c:v>38705</c:v>
                </c:pt>
                <c:pt idx="29">
                  <c:v>40785</c:v>
                </c:pt>
                <c:pt idx="30">
                  <c:v>41718</c:v>
                </c:pt>
                <c:pt idx="31">
                  <c:v>43133</c:v>
                </c:pt>
                <c:pt idx="32">
                  <c:v>44674</c:v>
                </c:pt>
                <c:pt idx="33">
                  <c:v>45501</c:v>
                </c:pt>
                <c:pt idx="34">
                  <c:v>44461</c:v>
                </c:pt>
                <c:pt idx="35">
                  <c:v>41344</c:v>
                </c:pt>
                <c:pt idx="36">
                  <c:v>40062</c:v>
                </c:pt>
                <c:pt idx="37">
                  <c:v>35743</c:v>
                </c:pt>
                <c:pt idx="38">
                  <c:v>34830</c:v>
                </c:pt>
                <c:pt idx="39">
                  <c:v>36796</c:v>
                </c:pt>
                <c:pt idx="40">
                  <c:v>36016</c:v>
                </c:pt>
                <c:pt idx="41">
                  <c:v>36539</c:v>
                </c:pt>
                <c:pt idx="42">
                  <c:v>35663</c:v>
                </c:pt>
                <c:pt idx="43">
                  <c:v>36890</c:v>
                </c:pt>
                <c:pt idx="44">
                  <c:v>35913</c:v>
                </c:pt>
                <c:pt idx="45">
                  <c:v>36565</c:v>
                </c:pt>
                <c:pt idx="46">
                  <c:v>37605</c:v>
                </c:pt>
                <c:pt idx="47">
                  <c:v>37743</c:v>
                </c:pt>
                <c:pt idx="48">
                  <c:v>41145</c:v>
                </c:pt>
                <c:pt idx="49">
                  <c:v>40840</c:v>
                </c:pt>
                <c:pt idx="50">
                  <c:v>30983</c:v>
                </c:pt>
                <c:pt idx="51">
                  <c:v>29086</c:v>
                </c:pt>
                <c:pt idx="52">
                  <c:v>27014</c:v>
                </c:pt>
                <c:pt idx="53">
                  <c:v>25572</c:v>
                </c:pt>
                <c:pt idx="54" formatCode="General">
                  <c:v>26605</c:v>
                </c:pt>
                <c:pt idx="55" formatCode="General">
                  <c:v>27869</c:v>
                </c:pt>
              </c:numCache>
            </c:numRef>
          </c:val>
          <c:smooth val="0"/>
          <c:extLst>
            <c:ext xmlns:c16="http://schemas.microsoft.com/office/drawing/2014/chart" uri="{C3380CC4-5D6E-409C-BE32-E72D297353CC}">
              <c16:uniqueId val="{00000001-9294-4E73-81AC-9983B3695513}"/>
            </c:ext>
          </c:extLst>
        </c:ser>
        <c:dLbls>
          <c:showLegendKey val="0"/>
          <c:showVal val="0"/>
          <c:showCatName val="0"/>
          <c:showSerName val="0"/>
          <c:showPercent val="0"/>
          <c:showBubbleSize val="0"/>
        </c:dLbls>
        <c:marker val="1"/>
        <c:smooth val="0"/>
        <c:axId val="330289992"/>
        <c:axId val="330288424"/>
      </c:lineChart>
      <c:catAx>
        <c:axId val="330289992"/>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330288424"/>
        <c:crosses val="autoZero"/>
        <c:auto val="1"/>
        <c:lblAlgn val="ctr"/>
        <c:lblOffset val="100"/>
        <c:noMultiLvlLbl val="0"/>
      </c:catAx>
      <c:valAx>
        <c:axId val="330288424"/>
        <c:scaling>
          <c:orientation val="minMax"/>
        </c:scaling>
        <c:delete val="0"/>
        <c:axPos val="l"/>
        <c:title>
          <c:tx>
            <c:rich>
              <a:bodyPr rot="-5400000" vert="horz"/>
              <a:lstStyle/>
              <a:p>
                <a:pPr>
                  <a:defRPr/>
                </a:pPr>
                <a:r>
                  <a:rPr lang="en-US"/>
                  <a:t>U.S. troops</a:t>
                </a:r>
              </a:p>
            </c:rich>
          </c:tx>
          <c:overlay val="0"/>
        </c:title>
        <c:numFmt formatCode="#,##0" sourceLinked="1"/>
        <c:majorTickMark val="out"/>
        <c:minorTickMark val="none"/>
        <c:tickLblPos val="nextTo"/>
        <c:crossAx val="330289992"/>
        <c:crosses val="autoZero"/>
        <c:crossBetween val="midCat"/>
      </c:valAx>
      <c:valAx>
        <c:axId val="330287248"/>
        <c:scaling>
          <c:orientation val="minMax"/>
        </c:scaling>
        <c:delete val="0"/>
        <c:axPos val="r"/>
        <c:title>
          <c:tx>
            <c:rich>
              <a:bodyPr rot="-5400000" vert="horz"/>
              <a:lstStyle/>
              <a:p>
                <a:pPr>
                  <a:defRPr/>
                </a:pPr>
                <a:r>
                  <a:rPr lang="en-US"/>
                  <a:t>Militarized Interstate Disputes</a:t>
                </a:r>
              </a:p>
            </c:rich>
          </c:tx>
          <c:overlay val="0"/>
        </c:title>
        <c:numFmt formatCode="0" sourceLinked="1"/>
        <c:majorTickMark val="out"/>
        <c:minorTickMark val="none"/>
        <c:tickLblPos val="nextTo"/>
        <c:crossAx val="330288816"/>
        <c:crosses val="max"/>
        <c:crossBetween val="between"/>
      </c:valAx>
      <c:catAx>
        <c:axId val="330288816"/>
        <c:scaling>
          <c:orientation val="minMax"/>
        </c:scaling>
        <c:delete val="1"/>
        <c:axPos val="b"/>
        <c:majorTickMark val="out"/>
        <c:minorTickMark val="none"/>
        <c:tickLblPos val="nextTo"/>
        <c:crossAx val="330287248"/>
        <c:crosses val="autoZero"/>
        <c:auto val="1"/>
        <c:lblAlgn val="ctr"/>
        <c:lblOffset val="100"/>
        <c:noMultiLvlLbl val="0"/>
      </c:cat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1"/>
          <c:order val="0"/>
          <c:tx>
            <c:v>United States</c:v>
          </c:tx>
          <c:spPr>
            <a:solidFill>
              <a:schemeClr val="dk1">
                <a:tint val="55000"/>
              </a:schemeClr>
            </a:solidFill>
            <a:ln>
              <a:noFill/>
            </a:ln>
            <a:effectLst/>
          </c:spPr>
          <c:invertIfNegative val="0"/>
          <c:val>
            <c:numRef>
              <c:f>'Appendix Figures 1 and 2'!$I$3:$I$7</c:f>
              <c:numCache>
                <c:formatCode>General</c:formatCode>
                <c:ptCount val="5"/>
                <c:pt idx="0">
                  <c:v>924589</c:v>
                </c:pt>
                <c:pt idx="1">
                  <c:v>952517</c:v>
                </c:pt>
                <c:pt idx="2">
                  <c:v>807196</c:v>
                </c:pt>
                <c:pt idx="3">
                  <c:v>703926</c:v>
                </c:pt>
                <c:pt idx="4">
                  <c:v>690956</c:v>
                </c:pt>
              </c:numCache>
            </c:numRef>
          </c:val>
          <c:extLst>
            <c:ext xmlns:c16="http://schemas.microsoft.com/office/drawing/2014/chart" uri="{C3380CC4-5D6E-409C-BE32-E72D297353CC}">
              <c16:uniqueId val="{00000000-ED81-4E06-A183-F3FFC6FA847D}"/>
            </c:ext>
          </c:extLst>
        </c:ser>
        <c:ser>
          <c:idx val="0"/>
          <c:order val="1"/>
          <c:tx>
            <c:v>Federal Republic of Germany</c:v>
          </c:tx>
          <c:spPr>
            <a:pattFill prst="pct60">
              <a:fgClr>
                <a:schemeClr val="bg1">
                  <a:lumMod val="50000"/>
                </a:schemeClr>
              </a:fgClr>
              <a:bgClr>
                <a:schemeClr val="bg1"/>
              </a:bgClr>
            </a:pattFill>
            <a:ln w="0">
              <a:solidFill>
                <a:schemeClr val="bg1">
                  <a:lumMod val="50000"/>
                </a:schemeClr>
              </a:solidFill>
            </a:ln>
            <a:effectLst/>
          </c:spPr>
          <c:invertIfNegative val="0"/>
          <c:cat>
            <c:numRef>
              <c:f>'Appendix Figures 1 and 2'!$A$3:$A$7</c:f>
              <c:numCache>
                <c:formatCode>General</c:formatCode>
                <c:ptCount val="5"/>
                <c:pt idx="0">
                  <c:v>1968</c:v>
                </c:pt>
                <c:pt idx="1">
                  <c:v>1969</c:v>
                </c:pt>
                <c:pt idx="2">
                  <c:v>1970</c:v>
                </c:pt>
                <c:pt idx="3">
                  <c:v>1971</c:v>
                </c:pt>
                <c:pt idx="4">
                  <c:v>1972</c:v>
                </c:pt>
              </c:numCache>
            </c:numRef>
          </c:cat>
          <c:val>
            <c:numRef>
              <c:f>'Appendix Figures 1 and 2'!$E$3:$E$7</c:f>
              <c:numCache>
                <c:formatCode>General</c:formatCode>
                <c:ptCount val="5"/>
                <c:pt idx="0">
                  <c:v>178736</c:v>
                </c:pt>
                <c:pt idx="1">
                  <c:v>176077</c:v>
                </c:pt>
                <c:pt idx="2">
                  <c:v>169516</c:v>
                </c:pt>
                <c:pt idx="3">
                  <c:v>187806</c:v>
                </c:pt>
                <c:pt idx="4">
                  <c:v>183875</c:v>
                </c:pt>
              </c:numCache>
            </c:numRef>
          </c:val>
          <c:extLst>
            <c:ext xmlns:c16="http://schemas.microsoft.com/office/drawing/2014/chart" uri="{C3380CC4-5D6E-409C-BE32-E72D297353CC}">
              <c16:uniqueId val="{00000001-ED81-4E06-A183-F3FFC6FA847D}"/>
            </c:ext>
          </c:extLst>
        </c:ser>
        <c:ser>
          <c:idx val="2"/>
          <c:order val="2"/>
          <c:tx>
            <c:v>Japan</c:v>
          </c:tx>
          <c:spPr>
            <a:solidFill>
              <a:schemeClr val="dk1">
                <a:tint val="75000"/>
              </a:schemeClr>
            </a:solidFill>
            <a:ln>
              <a:noFill/>
            </a:ln>
            <a:effectLst/>
          </c:spPr>
          <c:invertIfNegative val="0"/>
          <c:val>
            <c:numRef>
              <c:f>'Appendix Figures 1 and 2'!$M$3:$M$7</c:f>
              <c:numCache>
                <c:formatCode>General</c:formatCode>
                <c:ptCount val="5"/>
                <c:pt idx="0">
                  <c:v>11089</c:v>
                </c:pt>
                <c:pt idx="1">
                  <c:v>12227</c:v>
                </c:pt>
                <c:pt idx="2">
                  <c:v>10986</c:v>
                </c:pt>
                <c:pt idx="3">
                  <c:v>11061</c:v>
                </c:pt>
                <c:pt idx="4">
                  <c:v>6735</c:v>
                </c:pt>
              </c:numCache>
            </c:numRef>
          </c:val>
          <c:extLst>
            <c:ext xmlns:c16="http://schemas.microsoft.com/office/drawing/2014/chart" uri="{C3380CC4-5D6E-409C-BE32-E72D297353CC}">
              <c16:uniqueId val="{00000002-ED81-4E06-A183-F3FFC6FA847D}"/>
            </c:ext>
          </c:extLst>
        </c:ser>
        <c:ser>
          <c:idx val="3"/>
          <c:order val="3"/>
          <c:tx>
            <c:v>Republic of Korea</c:v>
          </c:tx>
          <c:spPr>
            <a:solidFill>
              <a:schemeClr val="dk1">
                <a:tint val="98500"/>
              </a:schemeClr>
            </a:solidFill>
            <a:ln>
              <a:noFill/>
            </a:ln>
            <a:effectLst/>
          </c:spPr>
          <c:invertIfNegative val="0"/>
          <c:val>
            <c:numRef>
              <c:f>'Appendix Figures 1 and 2'!$Q$3:$Q$7</c:f>
              <c:numCache>
                <c:formatCode>General</c:formatCode>
                <c:ptCount val="5"/>
                <c:pt idx="0">
                  <c:v>51754</c:v>
                </c:pt>
                <c:pt idx="1">
                  <c:v>55348</c:v>
                </c:pt>
                <c:pt idx="2">
                  <c:v>42677</c:v>
                </c:pt>
                <c:pt idx="3">
                  <c:v>30496</c:v>
                </c:pt>
                <c:pt idx="4">
                  <c:v>32566</c:v>
                </c:pt>
              </c:numCache>
            </c:numRef>
          </c:val>
          <c:extLst>
            <c:ext xmlns:c16="http://schemas.microsoft.com/office/drawing/2014/chart" uri="{C3380CC4-5D6E-409C-BE32-E72D297353CC}">
              <c16:uniqueId val="{00000003-ED81-4E06-A183-F3FFC6FA847D}"/>
            </c:ext>
          </c:extLst>
        </c:ser>
        <c:dLbls>
          <c:showLegendKey val="0"/>
          <c:showVal val="0"/>
          <c:showCatName val="0"/>
          <c:showSerName val="0"/>
          <c:showPercent val="0"/>
          <c:showBubbleSize val="0"/>
        </c:dLbls>
        <c:gapWidth val="219"/>
        <c:overlap val="-27"/>
        <c:axId val="330673736"/>
        <c:axId val="330671776"/>
      </c:barChart>
      <c:catAx>
        <c:axId val="330673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30671776"/>
        <c:crosses val="autoZero"/>
        <c:auto val="1"/>
        <c:lblAlgn val="ctr"/>
        <c:lblOffset val="100"/>
        <c:noMultiLvlLbl val="0"/>
      </c:catAx>
      <c:valAx>
        <c:axId val="330671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U.A. Army and Marines by location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30673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1"/>
          <c:order val="0"/>
          <c:tx>
            <c:v>United States</c:v>
          </c:tx>
          <c:spPr>
            <a:solidFill>
              <a:schemeClr val="dk1">
                <a:tint val="55000"/>
              </a:schemeClr>
            </a:solidFill>
            <a:ln>
              <a:noFill/>
            </a:ln>
            <a:effectLst/>
          </c:spPr>
          <c:invertIfNegative val="0"/>
          <c:cat>
            <c:numRef>
              <c:f>'Appendix Figures 1 and 2'!$A$8:$A$11</c:f>
              <c:numCache>
                <c:formatCode>General</c:formatCode>
                <c:ptCount val="4"/>
                <c:pt idx="0">
                  <c:v>2003</c:v>
                </c:pt>
                <c:pt idx="1">
                  <c:v>2004</c:v>
                </c:pt>
                <c:pt idx="2">
                  <c:v>2005</c:v>
                </c:pt>
                <c:pt idx="3">
                  <c:v>2006</c:v>
                </c:pt>
              </c:numCache>
            </c:numRef>
          </c:cat>
          <c:val>
            <c:numRef>
              <c:f>'Appendix Figures 1 and 2'!$I$8:$I$11</c:f>
              <c:numCache>
                <c:formatCode>General</c:formatCode>
                <c:ptCount val="4"/>
                <c:pt idx="0">
                  <c:v>527511</c:v>
                </c:pt>
                <c:pt idx="1">
                  <c:v>500908</c:v>
                </c:pt>
                <c:pt idx="2">
                  <c:v>506006</c:v>
                </c:pt>
                <c:pt idx="3">
                  <c:v>529432</c:v>
                </c:pt>
              </c:numCache>
            </c:numRef>
          </c:val>
          <c:extLst>
            <c:ext xmlns:c16="http://schemas.microsoft.com/office/drawing/2014/chart" uri="{C3380CC4-5D6E-409C-BE32-E72D297353CC}">
              <c16:uniqueId val="{00000000-5929-44C1-BF76-5D6719EFF84F}"/>
            </c:ext>
          </c:extLst>
        </c:ser>
        <c:ser>
          <c:idx val="0"/>
          <c:order val="1"/>
          <c:tx>
            <c:v>Federal Republic of Germany</c:v>
          </c:tx>
          <c:spPr>
            <a:pattFill prst="pct60">
              <a:fgClr>
                <a:schemeClr val="bg1">
                  <a:lumMod val="50000"/>
                </a:schemeClr>
              </a:fgClr>
              <a:bgClr>
                <a:schemeClr val="bg1"/>
              </a:bgClr>
            </a:pattFill>
            <a:ln>
              <a:solidFill>
                <a:schemeClr val="bg1">
                  <a:lumMod val="50000"/>
                </a:schemeClr>
              </a:solidFill>
            </a:ln>
            <a:effectLst/>
          </c:spPr>
          <c:invertIfNegative val="0"/>
          <c:cat>
            <c:numRef>
              <c:f>'Appendix Figures 1 and 2'!$A$8:$A$11</c:f>
              <c:numCache>
                <c:formatCode>General</c:formatCode>
                <c:ptCount val="4"/>
                <c:pt idx="0">
                  <c:v>2003</c:v>
                </c:pt>
                <c:pt idx="1">
                  <c:v>2004</c:v>
                </c:pt>
                <c:pt idx="2">
                  <c:v>2005</c:v>
                </c:pt>
                <c:pt idx="3">
                  <c:v>2006</c:v>
                </c:pt>
              </c:numCache>
            </c:numRef>
          </c:cat>
          <c:val>
            <c:numRef>
              <c:f>'Appendix Figures 1 and 2'!$E$8:$E$11</c:f>
              <c:numCache>
                <c:formatCode>General</c:formatCode>
                <c:ptCount val="4"/>
                <c:pt idx="0">
                  <c:v>58290</c:v>
                </c:pt>
                <c:pt idx="1">
                  <c:v>59523</c:v>
                </c:pt>
                <c:pt idx="2">
                  <c:v>50672</c:v>
                </c:pt>
                <c:pt idx="3">
                  <c:v>48852</c:v>
                </c:pt>
              </c:numCache>
            </c:numRef>
          </c:val>
          <c:extLst>
            <c:ext xmlns:c16="http://schemas.microsoft.com/office/drawing/2014/chart" uri="{C3380CC4-5D6E-409C-BE32-E72D297353CC}">
              <c16:uniqueId val="{00000001-5929-44C1-BF76-5D6719EFF84F}"/>
            </c:ext>
          </c:extLst>
        </c:ser>
        <c:ser>
          <c:idx val="2"/>
          <c:order val="2"/>
          <c:tx>
            <c:v>Japan</c:v>
          </c:tx>
          <c:spPr>
            <a:solidFill>
              <a:schemeClr val="dk1">
                <a:tint val="75000"/>
              </a:schemeClr>
            </a:solidFill>
            <a:ln>
              <a:noFill/>
            </a:ln>
            <a:effectLst/>
          </c:spPr>
          <c:invertIfNegative val="0"/>
          <c:cat>
            <c:numRef>
              <c:f>'Appendix Figures 1 and 2'!$A$8:$A$11</c:f>
              <c:numCache>
                <c:formatCode>General</c:formatCode>
                <c:ptCount val="4"/>
                <c:pt idx="0">
                  <c:v>2003</c:v>
                </c:pt>
                <c:pt idx="1">
                  <c:v>2004</c:v>
                </c:pt>
                <c:pt idx="2">
                  <c:v>2005</c:v>
                </c:pt>
                <c:pt idx="3">
                  <c:v>2006</c:v>
                </c:pt>
              </c:numCache>
            </c:numRef>
          </c:cat>
          <c:val>
            <c:numRef>
              <c:f>'Appendix Figures 1 and 2'!$M$8:$M$11</c:f>
              <c:numCache>
                <c:formatCode>General</c:formatCode>
                <c:ptCount val="4"/>
                <c:pt idx="0">
                  <c:v>19790</c:v>
                </c:pt>
                <c:pt idx="1">
                  <c:v>17323</c:v>
                </c:pt>
                <c:pt idx="2">
                  <c:v>17591</c:v>
                </c:pt>
                <c:pt idx="3">
                  <c:v>16389</c:v>
                </c:pt>
              </c:numCache>
            </c:numRef>
          </c:val>
          <c:extLst>
            <c:ext xmlns:c16="http://schemas.microsoft.com/office/drawing/2014/chart" uri="{C3380CC4-5D6E-409C-BE32-E72D297353CC}">
              <c16:uniqueId val="{00000002-5929-44C1-BF76-5D6719EFF84F}"/>
            </c:ext>
          </c:extLst>
        </c:ser>
        <c:ser>
          <c:idx val="3"/>
          <c:order val="3"/>
          <c:tx>
            <c:v>Republic of Korea</c:v>
          </c:tx>
          <c:spPr>
            <a:solidFill>
              <a:schemeClr val="dk1">
                <a:tint val="98500"/>
              </a:schemeClr>
            </a:solidFill>
            <a:ln>
              <a:noFill/>
            </a:ln>
            <a:effectLst/>
          </c:spPr>
          <c:invertIfNegative val="0"/>
          <c:cat>
            <c:numRef>
              <c:f>'Appendix Figures 1 and 2'!$A$8:$A$11</c:f>
              <c:numCache>
                <c:formatCode>General</c:formatCode>
                <c:ptCount val="4"/>
                <c:pt idx="0">
                  <c:v>2003</c:v>
                </c:pt>
                <c:pt idx="1">
                  <c:v>2004</c:v>
                </c:pt>
                <c:pt idx="2">
                  <c:v>2005</c:v>
                </c:pt>
                <c:pt idx="3">
                  <c:v>2006</c:v>
                </c:pt>
              </c:numCache>
            </c:numRef>
          </c:cat>
          <c:val>
            <c:numRef>
              <c:f>'Appendix Figures 1 and 2'!$Q$8:$Q$11</c:f>
              <c:numCache>
                <c:formatCode>General</c:formatCode>
                <c:ptCount val="4"/>
                <c:pt idx="0">
                  <c:v>31192</c:v>
                </c:pt>
                <c:pt idx="1">
                  <c:v>31482</c:v>
                </c:pt>
                <c:pt idx="2">
                  <c:v>21613</c:v>
                </c:pt>
                <c:pt idx="3">
                  <c:v>19997</c:v>
                </c:pt>
              </c:numCache>
            </c:numRef>
          </c:val>
          <c:extLst>
            <c:ext xmlns:c16="http://schemas.microsoft.com/office/drawing/2014/chart" uri="{C3380CC4-5D6E-409C-BE32-E72D297353CC}">
              <c16:uniqueId val="{00000003-5929-44C1-BF76-5D6719EFF84F}"/>
            </c:ext>
          </c:extLst>
        </c:ser>
        <c:dLbls>
          <c:showLegendKey val="0"/>
          <c:showVal val="0"/>
          <c:showCatName val="0"/>
          <c:showSerName val="0"/>
          <c:showPercent val="0"/>
          <c:showBubbleSize val="0"/>
        </c:dLbls>
        <c:gapWidth val="219"/>
        <c:overlap val="-27"/>
        <c:axId val="330674520"/>
        <c:axId val="330668248"/>
      </c:barChart>
      <c:catAx>
        <c:axId val="330674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30668248"/>
        <c:crosses val="autoZero"/>
        <c:auto val="1"/>
        <c:lblAlgn val="ctr"/>
        <c:lblOffset val="100"/>
        <c:noMultiLvlLbl val="0"/>
      </c:catAx>
      <c:valAx>
        <c:axId val="3306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U.A. Army and Marines by location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30674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v>BEMA</c:v>
          </c:tx>
          <c:invertIfNegative val="0"/>
          <c:cat>
            <c:numRef>
              <c:f>'[1]Troop and Conflict '!$G$46:$G$58</c:f>
              <c:numCache>
                <c:formatCode>General</c:formatCode>
                <c:ptCount val="1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numCache>
            </c:numRef>
          </c:cat>
          <c:val>
            <c:numRef>
              <c:f>'[1]Troop and Conflict '!$R$46:$R$58</c:f>
              <c:numCache>
                <c:formatCode>General</c:formatCode>
                <c:ptCount val="13"/>
                <c:pt idx="0">
                  <c:v>1</c:v>
                </c:pt>
                <c:pt idx="1">
                  <c:v>2</c:v>
                </c:pt>
                <c:pt idx="2">
                  <c:v>1</c:v>
                </c:pt>
                <c:pt idx="3">
                  <c:v>1</c:v>
                </c:pt>
                <c:pt idx="4">
                  <c:v>3</c:v>
                </c:pt>
                <c:pt idx="5">
                  <c:v>5</c:v>
                </c:pt>
                <c:pt idx="6">
                  <c:v>2</c:v>
                </c:pt>
                <c:pt idx="7">
                  <c:v>3</c:v>
                </c:pt>
                <c:pt idx="8">
                  <c:v>3</c:v>
                </c:pt>
                <c:pt idx="9">
                  <c:v>3</c:v>
                </c:pt>
                <c:pt idx="10">
                  <c:v>1</c:v>
                </c:pt>
                <c:pt idx="11">
                  <c:v>8</c:v>
                </c:pt>
                <c:pt idx="12">
                  <c:v>3</c:v>
                </c:pt>
              </c:numCache>
            </c:numRef>
          </c:val>
          <c:extLst>
            <c:ext xmlns:c16="http://schemas.microsoft.com/office/drawing/2014/chart" uri="{C3380CC4-5D6E-409C-BE32-E72D297353CC}">
              <c16:uniqueId val="{00000000-65A7-4519-9F8A-41DC866D3ECE}"/>
            </c:ext>
          </c:extLst>
        </c:ser>
        <c:dLbls>
          <c:showLegendKey val="0"/>
          <c:showVal val="0"/>
          <c:showCatName val="0"/>
          <c:showSerName val="0"/>
          <c:showPercent val="0"/>
          <c:showBubbleSize val="0"/>
        </c:dLbls>
        <c:gapWidth val="150"/>
        <c:axId val="330670992"/>
        <c:axId val="330672560"/>
      </c:barChart>
      <c:catAx>
        <c:axId val="330670992"/>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0672560"/>
        <c:crosses val="autoZero"/>
        <c:auto val="1"/>
        <c:lblAlgn val="ctr"/>
        <c:lblOffset val="100"/>
        <c:noMultiLvlLbl val="0"/>
      </c:catAx>
      <c:valAx>
        <c:axId val="330672560"/>
        <c:scaling>
          <c:orientation val="minMax"/>
        </c:scaling>
        <c:delete val="0"/>
        <c:axPos val="l"/>
        <c:title>
          <c:tx>
            <c:rich>
              <a:bodyPr rot="-5400000" vert="horz"/>
              <a:lstStyle/>
              <a:p>
                <a:pPr>
                  <a:defRPr/>
                </a:pPr>
                <a:r>
                  <a:rPr lang="en-US"/>
                  <a:t>Belligerent Military Activities</a:t>
                </a:r>
              </a:p>
            </c:rich>
          </c:tx>
          <c:layout/>
          <c:overlay val="0"/>
        </c:title>
        <c:numFmt formatCode="General" sourceLinked="1"/>
        <c:majorTickMark val="out"/>
        <c:minorTickMark val="none"/>
        <c:tickLblPos val="nextTo"/>
        <c:crossAx val="330670992"/>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v>Pre-redeployment</c:v>
          </c:tx>
          <c:invertIfNegative val="0"/>
          <c:cat>
            <c:strRef>
              <c:f>'[1]Troop and Conflict '!$B$90:$B$92</c:f>
              <c:strCache>
                <c:ptCount val="3"/>
                <c:pt idx="0">
                  <c:v>2004-2005: 1 year</c:v>
                </c:pt>
                <c:pt idx="1">
                  <c:v>2004-2005: 3 years</c:v>
                </c:pt>
                <c:pt idx="2">
                  <c:v>2004-2005: 5 years</c:v>
                </c:pt>
              </c:strCache>
            </c:strRef>
          </c:cat>
          <c:val>
            <c:numRef>
              <c:f>'[1]Troop and Conflict '!$D$90:$D$92</c:f>
              <c:numCache>
                <c:formatCode>General</c:formatCode>
                <c:ptCount val="3"/>
                <c:pt idx="0">
                  <c:v>5</c:v>
                </c:pt>
                <c:pt idx="1">
                  <c:v>9</c:v>
                </c:pt>
                <c:pt idx="2">
                  <c:v>12</c:v>
                </c:pt>
              </c:numCache>
            </c:numRef>
          </c:val>
          <c:extLst>
            <c:ext xmlns:c16="http://schemas.microsoft.com/office/drawing/2014/chart" uri="{C3380CC4-5D6E-409C-BE32-E72D297353CC}">
              <c16:uniqueId val="{00000000-A2AD-4A03-913A-6A1526DF418F}"/>
            </c:ext>
          </c:extLst>
        </c:ser>
        <c:ser>
          <c:idx val="1"/>
          <c:order val="1"/>
          <c:tx>
            <c:v>Post-redeployment</c:v>
          </c:tx>
          <c:invertIfNegative val="0"/>
          <c:val>
            <c:numRef>
              <c:f>'[1]Troop and Conflict '!$E$90:$E$92</c:f>
              <c:numCache>
                <c:formatCode>General</c:formatCode>
                <c:ptCount val="3"/>
                <c:pt idx="0">
                  <c:v>3</c:v>
                </c:pt>
                <c:pt idx="1">
                  <c:v>7</c:v>
                </c:pt>
                <c:pt idx="2">
                  <c:v>18</c:v>
                </c:pt>
              </c:numCache>
            </c:numRef>
          </c:val>
          <c:extLst>
            <c:ext xmlns:c16="http://schemas.microsoft.com/office/drawing/2014/chart" uri="{C3380CC4-5D6E-409C-BE32-E72D297353CC}">
              <c16:uniqueId val="{00000001-A2AD-4A03-913A-6A1526DF418F}"/>
            </c:ext>
          </c:extLst>
        </c:ser>
        <c:dLbls>
          <c:showLegendKey val="0"/>
          <c:showVal val="0"/>
          <c:showCatName val="0"/>
          <c:showSerName val="0"/>
          <c:showPercent val="0"/>
          <c:showBubbleSize val="0"/>
        </c:dLbls>
        <c:gapWidth val="150"/>
        <c:axId val="330672952"/>
        <c:axId val="330670600"/>
      </c:barChart>
      <c:catAx>
        <c:axId val="330672952"/>
        <c:scaling>
          <c:orientation val="minMax"/>
        </c:scaling>
        <c:delete val="0"/>
        <c:axPos val="b"/>
        <c:numFmt formatCode="General" sourceLinked="0"/>
        <c:majorTickMark val="out"/>
        <c:minorTickMark val="none"/>
        <c:tickLblPos val="nextTo"/>
        <c:crossAx val="330670600"/>
        <c:crosses val="autoZero"/>
        <c:auto val="1"/>
        <c:lblAlgn val="ctr"/>
        <c:lblOffset val="100"/>
        <c:noMultiLvlLbl val="0"/>
      </c:catAx>
      <c:valAx>
        <c:axId val="330670600"/>
        <c:scaling>
          <c:orientation val="minMax"/>
        </c:scaling>
        <c:delete val="0"/>
        <c:axPos val="l"/>
        <c:title>
          <c:tx>
            <c:rich>
              <a:bodyPr rot="-5400000" vert="horz"/>
              <a:lstStyle/>
              <a:p>
                <a:pPr>
                  <a:defRPr/>
                </a:pPr>
                <a:r>
                  <a:rPr lang="en-US"/>
                  <a:t>Belligerent Military Activities</a:t>
                </a:r>
              </a:p>
            </c:rich>
          </c:tx>
          <c:layout/>
          <c:overlay val="0"/>
        </c:title>
        <c:numFmt formatCode="General" sourceLinked="1"/>
        <c:majorTickMark val="out"/>
        <c:minorTickMark val="none"/>
        <c:tickLblPos val="nextTo"/>
        <c:crossAx val="330672952"/>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57150</xdr:rowOff>
    </xdr:from>
    <xdr:to>
      <xdr:col>7</xdr:col>
      <xdr:colOff>542925</xdr:colOff>
      <xdr:row>17</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7</xdr:col>
      <xdr:colOff>483489</xdr:colOff>
      <xdr:row>42</xdr:row>
      <xdr:rowOff>109538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66674</xdr:colOff>
      <xdr:row>3</xdr:row>
      <xdr:rowOff>19049</xdr:rowOff>
    </xdr:from>
    <xdr:to>
      <xdr:col>7</xdr:col>
      <xdr:colOff>607313</xdr:colOff>
      <xdr:row>17</xdr:row>
      <xdr:rowOff>152400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25</xdr:row>
      <xdr:rowOff>28575</xdr:rowOff>
    </xdr:from>
    <xdr:to>
      <xdr:col>7</xdr:col>
      <xdr:colOff>600075</xdr:colOff>
      <xdr:row>40</xdr:row>
      <xdr:rowOff>152400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66674</xdr:colOff>
      <xdr:row>118</xdr:row>
      <xdr:rowOff>19049</xdr:rowOff>
    </xdr:from>
    <xdr:to>
      <xdr:col>32</xdr:col>
      <xdr:colOff>607313</xdr:colOff>
      <xdr:row>132</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185736</xdr:rowOff>
    </xdr:from>
    <xdr:to>
      <xdr:col>9</xdr:col>
      <xdr:colOff>600075</xdr:colOff>
      <xdr:row>37</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21</xdr:row>
      <xdr:rowOff>180975</xdr:rowOff>
    </xdr:from>
    <xdr:to>
      <xdr:col>18</xdr:col>
      <xdr:colOff>600075</xdr:colOff>
      <xdr:row>37</xdr:row>
      <xdr:rowOff>185738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4762</xdr:rowOff>
    </xdr:from>
    <xdr:to>
      <xdr:col>7</xdr:col>
      <xdr:colOff>597789</xdr:colOff>
      <xdr:row>17</xdr:row>
      <xdr:rowOff>190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19</xdr:row>
      <xdr:rowOff>171449</xdr:rowOff>
    </xdr:from>
    <xdr:to>
      <xdr:col>7</xdr:col>
      <xdr:colOff>607314</xdr:colOff>
      <xdr:row>34</xdr:row>
      <xdr:rowOff>143064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20Presence%20Project\Avey%20Markowitz%20Reardon%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D Troop Levels"/>
      <sheetName val="MIDs Raw"/>
      <sheetName val="Dyadic MIDs"/>
      <sheetName val="MIDs per Year"/>
      <sheetName val="Troop and Conflict "/>
      <sheetName val="Severity"/>
      <sheetName val="Regression Results"/>
    </sheetNames>
    <sheetDataSet>
      <sheetData sheetId="0"/>
      <sheetData sheetId="1"/>
      <sheetData sheetId="2"/>
      <sheetData sheetId="3"/>
      <sheetData sheetId="4">
        <row r="46">
          <cell r="G46">
            <v>1998</v>
          </cell>
          <cell r="R46">
            <v>1</v>
          </cell>
        </row>
        <row r="47">
          <cell r="G47">
            <v>1999</v>
          </cell>
          <cell r="R47">
            <v>2</v>
          </cell>
        </row>
        <row r="48">
          <cell r="G48">
            <v>2000</v>
          </cell>
          <cell r="R48">
            <v>1</v>
          </cell>
        </row>
        <row r="49">
          <cell r="G49">
            <v>2001</v>
          </cell>
          <cell r="R49">
            <v>1</v>
          </cell>
        </row>
        <row r="50">
          <cell r="G50">
            <v>2002</v>
          </cell>
          <cell r="R50">
            <v>3</v>
          </cell>
        </row>
        <row r="51">
          <cell r="G51">
            <v>2003</v>
          </cell>
          <cell r="R51">
            <v>5</v>
          </cell>
        </row>
        <row r="52">
          <cell r="G52">
            <v>2004</v>
          </cell>
          <cell r="R52">
            <v>2</v>
          </cell>
        </row>
        <row r="53">
          <cell r="G53">
            <v>2005</v>
          </cell>
          <cell r="R53">
            <v>3</v>
          </cell>
        </row>
        <row r="54">
          <cell r="G54">
            <v>2006</v>
          </cell>
          <cell r="R54">
            <v>3</v>
          </cell>
        </row>
        <row r="55">
          <cell r="G55">
            <v>2007</v>
          </cell>
          <cell r="R55">
            <v>3</v>
          </cell>
        </row>
        <row r="56">
          <cell r="G56">
            <v>2008</v>
          </cell>
          <cell r="R56">
            <v>1</v>
          </cell>
        </row>
        <row r="57">
          <cell r="G57">
            <v>2009</v>
          </cell>
          <cell r="R57">
            <v>8</v>
          </cell>
        </row>
        <row r="58">
          <cell r="G58">
            <v>2010</v>
          </cell>
          <cell r="R58">
            <v>3</v>
          </cell>
        </row>
        <row r="90">
          <cell r="B90" t="str">
            <v>2004-2005: 1 year</v>
          </cell>
          <cell r="D90">
            <v>5</v>
          </cell>
          <cell r="E90">
            <v>3</v>
          </cell>
        </row>
        <row r="91">
          <cell r="B91" t="str">
            <v>2004-2005: 3 years</v>
          </cell>
          <cell r="D91">
            <v>9</v>
          </cell>
          <cell r="E91">
            <v>7</v>
          </cell>
        </row>
        <row r="92">
          <cell r="B92" t="str">
            <v>2004-2005: 5 years</v>
          </cell>
          <cell r="D92">
            <v>12</v>
          </cell>
          <cell r="E92">
            <v>18</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abSelected="1" workbookViewId="0"/>
  </sheetViews>
  <sheetFormatPr defaultRowHeight="14.5" x14ac:dyDescent="0.35"/>
  <cols>
    <col min="8" max="8" width="8.7265625" customWidth="1"/>
  </cols>
  <sheetData>
    <row r="1" spans="1:16" x14ac:dyDescent="0.35">
      <c r="A1" s="27"/>
      <c r="B1" s="27"/>
      <c r="C1" s="27"/>
      <c r="D1" s="27"/>
      <c r="E1" s="27"/>
      <c r="F1" s="27"/>
      <c r="G1" s="27"/>
      <c r="H1" s="27"/>
      <c r="K1" t="s">
        <v>275</v>
      </c>
      <c r="N1" s="2"/>
      <c r="O1" s="5"/>
      <c r="P1" s="5"/>
    </row>
    <row r="2" spans="1:16" x14ac:dyDescent="0.35">
      <c r="A2" s="59"/>
      <c r="B2" s="59"/>
      <c r="C2" s="59"/>
      <c r="D2" s="59"/>
      <c r="E2" s="59"/>
      <c r="F2" s="59"/>
      <c r="G2" s="59"/>
      <c r="H2" s="59"/>
      <c r="K2" s="2" t="s">
        <v>27</v>
      </c>
      <c r="L2" s="2" t="s">
        <v>34</v>
      </c>
      <c r="M2" s="2" t="s">
        <v>35</v>
      </c>
      <c r="N2" s="2" t="s">
        <v>254</v>
      </c>
      <c r="O2" s="5" t="s">
        <v>36</v>
      </c>
      <c r="P2" s="5" t="s">
        <v>37</v>
      </c>
    </row>
    <row r="3" spans="1:16" x14ac:dyDescent="0.35">
      <c r="A3" s="59"/>
      <c r="B3" s="59"/>
      <c r="C3" s="59"/>
      <c r="D3" s="59"/>
      <c r="E3" s="59"/>
      <c r="F3" s="59"/>
      <c r="G3" s="59"/>
      <c r="H3" s="59"/>
      <c r="I3" s="7"/>
      <c r="K3" s="2">
        <v>1955</v>
      </c>
      <c r="L3" s="3">
        <v>75328</v>
      </c>
      <c r="M3" s="3">
        <v>60096</v>
      </c>
      <c r="N3" s="2">
        <v>2777</v>
      </c>
      <c r="O3" s="5">
        <v>-0.67</v>
      </c>
      <c r="P3" s="49">
        <v>-0.63524463300497103</v>
      </c>
    </row>
    <row r="4" spans="1:16" x14ac:dyDescent="0.35">
      <c r="A4" s="33"/>
      <c r="B4" s="33"/>
      <c r="C4" s="33"/>
      <c r="D4" s="33"/>
      <c r="E4" s="33"/>
      <c r="F4" s="33"/>
      <c r="G4" s="33"/>
      <c r="H4" s="33"/>
      <c r="I4" s="7"/>
      <c r="K4" s="2">
        <v>1956</v>
      </c>
      <c r="L4" s="4">
        <v>68810</v>
      </c>
      <c r="M4" s="3">
        <v>59755</v>
      </c>
      <c r="N4" s="2">
        <v>127</v>
      </c>
      <c r="O4" s="5">
        <f>(L4/L3)-1</f>
        <v>-8.6528249787595546E-2</v>
      </c>
      <c r="P4" s="49">
        <f>(M4/M3)-1</f>
        <v>-5.6742545260916044E-3</v>
      </c>
    </row>
    <row r="5" spans="1:16" x14ac:dyDescent="0.35">
      <c r="A5" s="33"/>
      <c r="B5" s="33"/>
      <c r="C5" s="33"/>
      <c r="D5" s="33"/>
      <c r="E5" s="33"/>
      <c r="F5" s="33"/>
      <c r="G5" s="33"/>
      <c r="H5" s="33"/>
      <c r="I5" s="7"/>
      <c r="K5" s="2">
        <v>1957</v>
      </c>
      <c r="L5" s="3">
        <v>71043</v>
      </c>
      <c r="M5" s="3">
        <v>61087</v>
      </c>
      <c r="N5" s="2">
        <v>143</v>
      </c>
      <c r="O5" s="5">
        <f t="shared" ref="O5:P56" si="0">(L5/L4)-1</f>
        <v>3.2451678535096562E-2</v>
      </c>
      <c r="P5" s="49">
        <f t="shared" si="0"/>
        <v>2.2291021671826616E-2</v>
      </c>
    </row>
    <row r="6" spans="1:16" x14ac:dyDescent="0.35">
      <c r="A6" s="33"/>
      <c r="B6" s="33"/>
      <c r="C6" s="33"/>
      <c r="D6" s="33"/>
      <c r="E6" s="33"/>
      <c r="F6" s="33"/>
      <c r="G6" s="33"/>
      <c r="H6" s="33"/>
      <c r="I6" s="7"/>
      <c r="K6" s="2">
        <v>1958</v>
      </c>
      <c r="L6" s="3">
        <v>46024</v>
      </c>
      <c r="M6" s="3">
        <v>39224</v>
      </c>
      <c r="N6" s="2">
        <v>105</v>
      </c>
      <c r="O6" s="5">
        <f t="shared" si="0"/>
        <v>-0.35216699745224722</v>
      </c>
      <c r="P6" s="49">
        <f t="shared" si="0"/>
        <v>-0.35789938939545241</v>
      </c>
    </row>
    <row r="7" spans="1:16" x14ac:dyDescent="0.35">
      <c r="A7" s="33"/>
      <c r="B7" s="33"/>
      <c r="C7" s="33"/>
      <c r="D7" s="33"/>
      <c r="E7" s="33"/>
      <c r="F7" s="33"/>
      <c r="G7" s="33"/>
      <c r="H7" s="33"/>
      <c r="I7" s="7"/>
      <c r="K7" s="2">
        <v>1959</v>
      </c>
      <c r="L7" s="3">
        <v>49827</v>
      </c>
      <c r="M7" s="3">
        <v>43562</v>
      </c>
      <c r="N7" s="2">
        <v>96</v>
      </c>
      <c r="O7" s="5">
        <f t="shared" si="0"/>
        <v>8.263080132104994E-2</v>
      </c>
      <c r="P7" s="49">
        <f t="shared" si="0"/>
        <v>0.11059555374260666</v>
      </c>
    </row>
    <row r="8" spans="1:16" x14ac:dyDescent="0.35">
      <c r="A8" s="33"/>
      <c r="B8" s="33"/>
      <c r="C8" s="33"/>
      <c r="D8" s="33"/>
      <c r="E8" s="33"/>
      <c r="F8" s="33"/>
      <c r="G8" s="33"/>
      <c r="H8" s="33"/>
      <c r="I8" s="7"/>
      <c r="K8" s="2">
        <v>1960</v>
      </c>
      <c r="L8" s="3">
        <v>55864</v>
      </c>
      <c r="M8" s="3">
        <v>49882</v>
      </c>
      <c r="N8" s="2">
        <v>102</v>
      </c>
      <c r="O8" s="5">
        <f t="shared" si="0"/>
        <v>0.1211592108696089</v>
      </c>
      <c r="P8" s="49">
        <f t="shared" si="0"/>
        <v>0.14508057481291026</v>
      </c>
    </row>
    <row r="9" spans="1:16" x14ac:dyDescent="0.35">
      <c r="A9" s="33"/>
      <c r="B9" s="33"/>
      <c r="C9" s="33"/>
      <c r="D9" s="33"/>
      <c r="E9" s="33"/>
      <c r="F9" s="33"/>
      <c r="G9" s="33"/>
      <c r="H9" s="33"/>
      <c r="I9" s="7"/>
      <c r="K9" s="2">
        <v>1961</v>
      </c>
      <c r="L9" s="3">
        <v>57694</v>
      </c>
      <c r="M9" s="3">
        <v>51674</v>
      </c>
      <c r="N9" s="2">
        <v>101</v>
      </c>
      <c r="O9" s="5">
        <f t="shared" si="0"/>
        <v>3.2758126879564697E-2</v>
      </c>
      <c r="P9" s="49">
        <f t="shared" si="0"/>
        <v>3.5924782486668638E-2</v>
      </c>
    </row>
    <row r="10" spans="1:16" x14ac:dyDescent="0.35">
      <c r="A10" s="33"/>
      <c r="B10" s="33"/>
      <c r="C10" s="33"/>
      <c r="D10" s="33"/>
      <c r="E10" s="33"/>
      <c r="F10" s="33"/>
      <c r="G10" s="33"/>
      <c r="H10" s="33"/>
      <c r="I10" s="7"/>
      <c r="K10" s="2">
        <v>1962</v>
      </c>
      <c r="L10" s="3">
        <v>60947</v>
      </c>
      <c r="M10" s="3">
        <v>55707</v>
      </c>
      <c r="N10" s="2">
        <v>109</v>
      </c>
      <c r="O10" s="5">
        <f t="shared" si="0"/>
        <v>5.6383679412070675E-2</v>
      </c>
      <c r="P10" s="49">
        <f t="shared" si="0"/>
        <v>7.8046986879281688E-2</v>
      </c>
    </row>
    <row r="11" spans="1:16" x14ac:dyDescent="0.35">
      <c r="A11" s="33"/>
      <c r="B11" s="33"/>
      <c r="C11" s="33"/>
      <c r="D11" s="33"/>
      <c r="E11" s="33"/>
      <c r="F11" s="33"/>
      <c r="G11" s="33"/>
      <c r="H11" s="33"/>
      <c r="I11" s="7"/>
      <c r="K11" s="2">
        <v>1963</v>
      </c>
      <c r="L11" s="3">
        <v>56910</v>
      </c>
      <c r="M11" s="3">
        <v>51861</v>
      </c>
      <c r="N11" s="2">
        <v>81</v>
      </c>
      <c r="O11" s="5">
        <f t="shared" si="0"/>
        <v>-6.6237878812738904E-2</v>
      </c>
      <c r="P11" s="49">
        <f t="shared" si="0"/>
        <v>-6.9039797511982304E-2</v>
      </c>
    </row>
    <row r="12" spans="1:16" x14ac:dyDescent="0.35">
      <c r="A12" s="33"/>
      <c r="B12" s="33"/>
      <c r="C12" s="33"/>
      <c r="D12" s="33"/>
      <c r="E12" s="33"/>
      <c r="F12" s="33"/>
      <c r="G12" s="33"/>
      <c r="H12" s="33"/>
      <c r="I12" s="7"/>
      <c r="K12" s="2">
        <v>1964</v>
      </c>
      <c r="L12" s="3">
        <v>62596</v>
      </c>
      <c r="M12" s="3">
        <v>57786</v>
      </c>
      <c r="N12" s="2">
        <v>74</v>
      </c>
      <c r="O12" s="5">
        <f t="shared" si="0"/>
        <v>9.9912141978562685E-2</v>
      </c>
      <c r="P12" s="49">
        <f t="shared" si="0"/>
        <v>0.11424770058425415</v>
      </c>
    </row>
    <row r="13" spans="1:16" x14ac:dyDescent="0.35">
      <c r="A13" s="33"/>
      <c r="B13" s="33"/>
      <c r="C13" s="33"/>
      <c r="D13" s="33"/>
      <c r="E13" s="33"/>
      <c r="F13" s="33"/>
      <c r="G13" s="33"/>
      <c r="H13" s="33"/>
      <c r="I13" s="7"/>
      <c r="K13" s="2">
        <v>1965</v>
      </c>
      <c r="L13" s="3">
        <v>58636</v>
      </c>
      <c r="M13" s="3">
        <v>54673</v>
      </c>
      <c r="N13" s="2">
        <v>74</v>
      </c>
      <c r="O13" s="5">
        <f t="shared" si="0"/>
        <v>-6.3262828295737705E-2</v>
      </c>
      <c r="P13" s="49">
        <f t="shared" si="0"/>
        <v>-5.3871179870556896E-2</v>
      </c>
    </row>
    <row r="14" spans="1:16" x14ac:dyDescent="0.35">
      <c r="A14" s="33"/>
      <c r="B14" s="33"/>
      <c r="C14" s="33"/>
      <c r="D14" s="33"/>
      <c r="E14" s="33"/>
      <c r="F14" s="33"/>
      <c r="G14" s="33"/>
      <c r="H14" s="33"/>
      <c r="I14" s="7"/>
      <c r="K14" s="2">
        <v>1966</v>
      </c>
      <c r="L14" s="3">
        <v>47076</v>
      </c>
      <c r="M14" s="3">
        <v>42886</v>
      </c>
      <c r="N14" s="2">
        <v>78</v>
      </c>
      <c r="O14" s="5">
        <f t="shared" si="0"/>
        <v>-0.19714850944812057</v>
      </c>
      <c r="P14" s="49">
        <f t="shared" si="0"/>
        <v>-0.2155908766667276</v>
      </c>
    </row>
    <row r="15" spans="1:16" x14ac:dyDescent="0.35">
      <c r="A15" s="33"/>
      <c r="B15" s="33"/>
      <c r="C15" s="33"/>
      <c r="D15" s="33"/>
      <c r="E15" s="33"/>
      <c r="F15" s="33"/>
      <c r="G15" s="33"/>
      <c r="H15" s="33"/>
      <c r="I15" s="7"/>
      <c r="K15" s="2">
        <v>1967</v>
      </c>
      <c r="L15" s="3">
        <v>55057</v>
      </c>
      <c r="M15" s="3">
        <v>50946</v>
      </c>
      <c r="N15" s="2">
        <v>74</v>
      </c>
      <c r="O15" s="5">
        <f t="shared" si="0"/>
        <v>0.16953436995496651</v>
      </c>
      <c r="P15" s="49">
        <f t="shared" si="0"/>
        <v>0.18794012031898522</v>
      </c>
    </row>
    <row r="16" spans="1:16" x14ac:dyDescent="0.35">
      <c r="A16" s="33"/>
      <c r="B16" s="33"/>
      <c r="C16" s="33"/>
      <c r="D16" s="33"/>
      <c r="E16" s="33"/>
      <c r="F16" s="33"/>
      <c r="G16" s="33"/>
      <c r="H16" s="33"/>
      <c r="I16" s="7"/>
      <c r="K16" s="2">
        <v>1968</v>
      </c>
      <c r="L16" s="3">
        <v>62416</v>
      </c>
      <c r="M16" s="3">
        <v>51686</v>
      </c>
      <c r="N16" s="2">
        <v>68</v>
      </c>
      <c r="O16" s="5">
        <f t="shared" si="0"/>
        <v>0.13366147810450979</v>
      </c>
      <c r="P16" s="49">
        <f t="shared" si="0"/>
        <v>1.4525183527656749E-2</v>
      </c>
    </row>
    <row r="17" spans="1:16" x14ac:dyDescent="0.35">
      <c r="A17" s="33"/>
      <c r="B17" s="33"/>
      <c r="C17" s="33"/>
      <c r="D17" s="33"/>
      <c r="E17" s="33"/>
      <c r="F17" s="33"/>
      <c r="G17" s="33"/>
      <c r="H17" s="33"/>
      <c r="I17" s="7"/>
      <c r="K17" s="2">
        <v>1969</v>
      </c>
      <c r="L17" s="3">
        <v>66531</v>
      </c>
      <c r="M17" s="3">
        <v>55284</v>
      </c>
      <c r="N17" s="2">
        <v>64</v>
      </c>
      <c r="O17" s="5">
        <f t="shared" si="0"/>
        <v>6.5928608049218074E-2</v>
      </c>
      <c r="P17" s="49">
        <f t="shared" si="0"/>
        <v>6.9612661068761295E-2</v>
      </c>
    </row>
    <row r="18" spans="1:16" x14ac:dyDescent="0.35">
      <c r="A18" s="33"/>
      <c r="B18" s="33"/>
      <c r="C18" s="33"/>
      <c r="D18" s="33"/>
      <c r="E18" s="33"/>
      <c r="F18" s="33"/>
      <c r="G18" s="33"/>
      <c r="H18" s="33"/>
      <c r="I18" s="7"/>
      <c r="K18" s="2">
        <v>1970</v>
      </c>
      <c r="L18" s="3">
        <v>52283</v>
      </c>
      <c r="M18" s="3">
        <v>42629</v>
      </c>
      <c r="N18" s="2">
        <v>48</v>
      </c>
      <c r="O18" s="5">
        <f t="shared" si="0"/>
        <v>-0.21415580706738213</v>
      </c>
      <c r="P18" s="49">
        <f t="shared" si="0"/>
        <v>-0.22890890673612618</v>
      </c>
    </row>
    <row r="19" spans="1:16" x14ac:dyDescent="0.35">
      <c r="A19" s="55" t="s">
        <v>274</v>
      </c>
      <c r="B19" s="55"/>
      <c r="C19" s="55"/>
      <c r="D19" s="55"/>
      <c r="E19" s="55"/>
      <c r="F19" s="55"/>
      <c r="G19" s="55"/>
      <c r="H19" s="55"/>
      <c r="I19" s="7"/>
      <c r="K19" s="2">
        <v>1971</v>
      </c>
      <c r="L19" s="3">
        <v>40740</v>
      </c>
      <c r="M19" s="3">
        <v>30453</v>
      </c>
      <c r="N19" s="2">
        <v>43</v>
      </c>
      <c r="O19" s="5">
        <f t="shared" si="0"/>
        <v>-0.22077922077922074</v>
      </c>
      <c r="P19" s="49">
        <f t="shared" si="0"/>
        <v>-0.28562715522297033</v>
      </c>
    </row>
    <row r="20" spans="1:16" x14ac:dyDescent="0.35">
      <c r="A20" s="61" t="s">
        <v>169</v>
      </c>
      <c r="B20" s="61"/>
      <c r="C20" s="61"/>
      <c r="D20" s="61"/>
      <c r="E20" s="61"/>
      <c r="F20" s="61"/>
      <c r="G20" s="61"/>
      <c r="H20" s="61"/>
      <c r="I20" s="7"/>
      <c r="K20" s="2">
        <v>1972</v>
      </c>
      <c r="L20" s="3">
        <v>41600</v>
      </c>
      <c r="M20" s="3">
        <v>32526</v>
      </c>
      <c r="N20" s="2">
        <v>40</v>
      </c>
      <c r="O20" s="5">
        <f t="shared" si="0"/>
        <v>2.1109474717722065E-2</v>
      </c>
      <c r="P20" s="49">
        <f t="shared" si="0"/>
        <v>6.8072111122057022E-2</v>
      </c>
    </row>
    <row r="21" spans="1:16" x14ac:dyDescent="0.35">
      <c r="A21" s="61" t="s">
        <v>168</v>
      </c>
      <c r="B21" s="61"/>
      <c r="C21" s="61"/>
      <c r="D21" s="61"/>
      <c r="E21" s="61"/>
      <c r="F21" s="61"/>
      <c r="G21" s="61"/>
      <c r="H21" s="61"/>
      <c r="I21" s="7"/>
      <c r="K21" s="2">
        <v>1973</v>
      </c>
      <c r="L21" s="3">
        <v>41864</v>
      </c>
      <c r="M21" s="3">
        <v>34258</v>
      </c>
      <c r="N21" s="2">
        <v>50</v>
      </c>
      <c r="O21" s="5">
        <f t="shared" si="0"/>
        <v>6.3461538461537792E-3</v>
      </c>
      <c r="P21" s="49">
        <f t="shared" si="0"/>
        <v>5.3249707925966838E-2</v>
      </c>
    </row>
    <row r="22" spans="1:16" x14ac:dyDescent="0.35">
      <c r="A22" s="61" t="s">
        <v>273</v>
      </c>
      <c r="B22" s="61"/>
      <c r="C22" s="61"/>
      <c r="D22" s="61"/>
      <c r="E22" s="61"/>
      <c r="F22" s="61"/>
      <c r="G22" s="61"/>
      <c r="H22" s="61"/>
      <c r="I22" s="7"/>
      <c r="K22" s="2">
        <v>1974</v>
      </c>
      <c r="L22" s="3">
        <v>40878</v>
      </c>
      <c r="M22" s="3">
        <v>32528</v>
      </c>
      <c r="N22" s="2">
        <v>27</v>
      </c>
      <c r="O22" s="5">
        <f t="shared" si="0"/>
        <v>-2.3552455570418518E-2</v>
      </c>
      <c r="P22" s="49">
        <f t="shared" si="0"/>
        <v>-5.0499153482398307E-2</v>
      </c>
    </row>
    <row r="23" spans="1:16" x14ac:dyDescent="0.35">
      <c r="A23" s="61" t="s">
        <v>170</v>
      </c>
      <c r="B23" s="61"/>
      <c r="C23" s="61"/>
      <c r="D23" s="61"/>
      <c r="E23" s="61"/>
      <c r="F23" s="61"/>
      <c r="G23" s="61"/>
      <c r="H23" s="61"/>
      <c r="I23" s="7"/>
      <c r="K23" s="2">
        <v>1975</v>
      </c>
      <c r="L23" s="3">
        <v>41186</v>
      </c>
      <c r="M23" s="3">
        <v>33186</v>
      </c>
      <c r="N23" s="2">
        <v>37</v>
      </c>
      <c r="O23" s="5">
        <f t="shared" si="0"/>
        <v>7.5346151964381658E-3</v>
      </c>
      <c r="P23" s="49">
        <f t="shared" si="0"/>
        <v>2.022872602065906E-2</v>
      </c>
    </row>
    <row r="24" spans="1:16" x14ac:dyDescent="0.35">
      <c r="A24" s="7"/>
      <c r="B24" s="7"/>
      <c r="C24" s="7"/>
      <c r="D24" s="7"/>
      <c r="E24" s="7"/>
      <c r="F24" s="7"/>
      <c r="G24" s="7"/>
      <c r="H24" s="7"/>
      <c r="I24" s="7"/>
      <c r="K24" s="2">
        <v>1976</v>
      </c>
      <c r="L24" s="3">
        <v>39133</v>
      </c>
      <c r="M24" s="3">
        <v>31703</v>
      </c>
      <c r="N24" s="2">
        <v>41</v>
      </c>
      <c r="O24" s="5">
        <f t="shared" si="0"/>
        <v>-4.9847035400378714E-2</v>
      </c>
      <c r="P24" s="49">
        <f t="shared" si="0"/>
        <v>-4.4687518833242956E-2</v>
      </c>
    </row>
    <row r="25" spans="1:16" x14ac:dyDescent="0.35">
      <c r="A25" s="7"/>
      <c r="B25" s="7"/>
      <c r="C25" s="7"/>
      <c r="D25" s="7"/>
      <c r="E25" s="7"/>
      <c r="F25" s="7"/>
      <c r="G25" s="7"/>
      <c r="H25" s="7"/>
      <c r="I25" s="7"/>
      <c r="K25" s="2">
        <v>1977</v>
      </c>
      <c r="L25" s="3">
        <v>40075</v>
      </c>
      <c r="M25" s="3">
        <v>32024</v>
      </c>
      <c r="N25" s="2">
        <v>755</v>
      </c>
      <c r="O25" s="5">
        <f t="shared" si="0"/>
        <v>2.4071755296041664E-2</v>
      </c>
      <c r="P25" s="49">
        <f t="shared" si="0"/>
        <v>1.012522474213795E-2</v>
      </c>
    </row>
    <row r="26" spans="1:16" x14ac:dyDescent="0.35">
      <c r="A26" s="7"/>
      <c r="B26" s="7"/>
      <c r="C26" s="7"/>
      <c r="D26" s="7"/>
      <c r="E26" s="7"/>
      <c r="F26" s="7"/>
      <c r="G26" s="7"/>
      <c r="H26" s="7"/>
      <c r="I26" s="7"/>
      <c r="K26" s="2">
        <v>1978</v>
      </c>
      <c r="L26" s="3">
        <v>41565</v>
      </c>
      <c r="M26" s="3">
        <v>33393</v>
      </c>
      <c r="N26" s="2">
        <v>43</v>
      </c>
      <c r="O26" s="5">
        <f t="shared" si="0"/>
        <v>3.7180286961946418E-2</v>
      </c>
      <c r="P26" s="49">
        <f t="shared" si="0"/>
        <v>4.2749188108918368E-2</v>
      </c>
    </row>
    <row r="27" spans="1:16" x14ac:dyDescent="0.35">
      <c r="A27" s="7"/>
      <c r="B27" s="7"/>
      <c r="C27" s="7"/>
      <c r="D27" s="7"/>
      <c r="E27" s="7"/>
      <c r="F27" s="7"/>
      <c r="G27" s="7"/>
      <c r="H27" s="7"/>
      <c r="I27" s="7"/>
      <c r="K27" s="2">
        <v>1979</v>
      </c>
      <c r="L27" s="3">
        <v>39018</v>
      </c>
      <c r="M27" s="3">
        <v>30389</v>
      </c>
      <c r="N27" s="2">
        <v>45</v>
      </c>
      <c r="O27" s="5">
        <f t="shared" si="0"/>
        <v>-6.1277517141826054E-2</v>
      </c>
      <c r="P27" s="49">
        <f t="shared" si="0"/>
        <v>-8.9958973437546774E-2</v>
      </c>
    </row>
    <row r="28" spans="1:16" x14ac:dyDescent="0.35">
      <c r="A28" s="7"/>
      <c r="B28" s="7"/>
      <c r="C28" s="7"/>
      <c r="D28" s="7"/>
      <c r="E28" s="7"/>
      <c r="F28" s="7"/>
      <c r="G28" s="7"/>
      <c r="H28" s="7"/>
      <c r="I28" s="7"/>
      <c r="J28" s="7"/>
      <c r="K28" s="2">
        <v>1980</v>
      </c>
      <c r="L28" s="3">
        <v>38780</v>
      </c>
      <c r="M28" s="3">
        <v>29647</v>
      </c>
      <c r="N28" s="2">
        <v>78</v>
      </c>
      <c r="O28" s="5">
        <f t="shared" si="0"/>
        <v>-6.0997488338715433E-3</v>
      </c>
      <c r="P28" s="49">
        <f t="shared" si="0"/>
        <v>-2.4416729737734011E-2</v>
      </c>
    </row>
    <row r="29" spans="1:16" x14ac:dyDescent="0.35">
      <c r="A29" s="7"/>
      <c r="B29" s="7"/>
      <c r="C29" s="7"/>
      <c r="D29" s="7"/>
      <c r="E29" s="7"/>
      <c r="F29" s="7"/>
      <c r="G29" s="7"/>
      <c r="H29" s="7"/>
      <c r="I29" s="7"/>
      <c r="J29" s="7"/>
      <c r="K29" s="2">
        <v>1981</v>
      </c>
      <c r="L29" s="3">
        <v>38254</v>
      </c>
      <c r="M29" s="3">
        <v>28486</v>
      </c>
      <c r="N29" s="2">
        <v>125</v>
      </c>
      <c r="O29" s="5">
        <f t="shared" si="0"/>
        <v>-1.3563692625064516E-2</v>
      </c>
      <c r="P29" s="49">
        <f t="shared" si="0"/>
        <v>-3.9160791985698329E-2</v>
      </c>
    </row>
    <row r="30" spans="1:16" x14ac:dyDescent="0.35">
      <c r="A30" s="7"/>
      <c r="B30" s="7"/>
      <c r="C30" s="7"/>
      <c r="D30" s="7"/>
      <c r="E30" s="7"/>
      <c r="F30" s="7"/>
      <c r="G30" s="7"/>
      <c r="H30" s="7"/>
      <c r="I30" s="7"/>
      <c r="J30" s="7"/>
      <c r="K30" s="2">
        <v>1982</v>
      </c>
      <c r="L30" s="3">
        <v>39194</v>
      </c>
      <c r="M30" s="3">
        <v>28359</v>
      </c>
      <c r="N30" s="2">
        <v>136</v>
      </c>
      <c r="O30" s="5">
        <f t="shared" si="0"/>
        <v>2.4572593715689761E-2</v>
      </c>
      <c r="P30" s="49">
        <f t="shared" si="0"/>
        <v>-4.4583304079196528E-3</v>
      </c>
    </row>
    <row r="31" spans="1:16" x14ac:dyDescent="0.35">
      <c r="A31" s="7"/>
      <c r="B31" s="7"/>
      <c r="C31" s="7"/>
      <c r="D31" s="7"/>
      <c r="E31" s="7"/>
      <c r="F31" s="7"/>
      <c r="G31" s="7"/>
      <c r="H31" s="7"/>
      <c r="I31" s="7"/>
      <c r="J31" s="7"/>
      <c r="K31" s="2">
        <v>1983</v>
      </c>
      <c r="L31" s="3">
        <v>38705</v>
      </c>
      <c r="M31" s="3">
        <v>27304</v>
      </c>
      <c r="N31" s="2">
        <v>56</v>
      </c>
      <c r="O31" s="5">
        <f t="shared" si="0"/>
        <v>-1.2476399448895226E-2</v>
      </c>
      <c r="P31" s="49">
        <f t="shared" si="0"/>
        <v>-3.7201593850276771E-2</v>
      </c>
    </row>
    <row r="32" spans="1:16" x14ac:dyDescent="0.35">
      <c r="A32" s="7"/>
      <c r="B32" s="7"/>
      <c r="C32" s="7"/>
      <c r="D32" s="7"/>
      <c r="E32" s="7"/>
      <c r="F32" s="7"/>
      <c r="G32" s="7"/>
      <c r="H32" s="7"/>
      <c r="I32" s="7"/>
      <c r="J32" s="7"/>
      <c r="K32" s="2">
        <v>1984</v>
      </c>
      <c r="L32" s="3">
        <v>40785</v>
      </c>
      <c r="M32" s="3">
        <v>29221</v>
      </c>
      <c r="N32" s="2">
        <v>133</v>
      </c>
      <c r="O32" s="5">
        <f t="shared" si="0"/>
        <v>5.3739826895749854E-2</v>
      </c>
      <c r="P32" s="49">
        <f t="shared" si="0"/>
        <v>7.0209493114562038E-2</v>
      </c>
    </row>
    <row r="33" spans="1:16" x14ac:dyDescent="0.35">
      <c r="A33" s="7"/>
      <c r="B33" s="7"/>
      <c r="C33" s="7"/>
      <c r="D33" s="7"/>
      <c r="E33" s="7"/>
      <c r="F33" s="7"/>
      <c r="G33" s="7"/>
      <c r="H33" s="7"/>
      <c r="I33" s="7"/>
      <c r="J33" s="7"/>
      <c r="K33" s="2">
        <v>1985</v>
      </c>
      <c r="L33" s="3">
        <v>41718</v>
      </c>
      <c r="M33" s="3">
        <v>30051</v>
      </c>
      <c r="N33" s="2">
        <v>62</v>
      </c>
      <c r="O33" s="5">
        <f t="shared" si="0"/>
        <v>2.2876057374034531E-2</v>
      </c>
      <c r="P33" s="49">
        <f t="shared" si="0"/>
        <v>2.8404229834707806E-2</v>
      </c>
    </row>
    <row r="34" spans="1:16" x14ac:dyDescent="0.35">
      <c r="A34" s="7"/>
      <c r="B34" s="7"/>
      <c r="C34" s="7"/>
      <c r="D34" s="7"/>
      <c r="E34" s="7"/>
      <c r="F34" s="7"/>
      <c r="G34" s="7"/>
      <c r="H34" s="7"/>
      <c r="I34" s="7"/>
      <c r="J34" s="7"/>
      <c r="K34" s="2">
        <v>1986</v>
      </c>
      <c r="L34" s="3">
        <v>43133</v>
      </c>
      <c r="M34" s="3">
        <v>31132</v>
      </c>
      <c r="N34" s="2">
        <v>405</v>
      </c>
      <c r="O34" s="5">
        <f t="shared" si="0"/>
        <v>3.3918212761877342E-2</v>
      </c>
      <c r="P34" s="49">
        <f t="shared" si="0"/>
        <v>3.5972180626268724E-2</v>
      </c>
    </row>
    <row r="35" spans="1:16" x14ac:dyDescent="0.35">
      <c r="A35" s="7"/>
      <c r="B35" s="7"/>
      <c r="C35" s="7"/>
      <c r="D35" s="7"/>
      <c r="E35" s="7"/>
      <c r="F35" s="7"/>
      <c r="G35" s="7"/>
      <c r="H35" s="7"/>
      <c r="I35" s="7"/>
      <c r="J35" s="7"/>
      <c r="K35" s="2">
        <v>1987</v>
      </c>
      <c r="L35" s="3">
        <v>44674</v>
      </c>
      <c r="M35" s="3">
        <v>31567</v>
      </c>
      <c r="N35" s="2">
        <v>1201</v>
      </c>
      <c r="O35" s="5">
        <f t="shared" si="0"/>
        <v>3.5726705770523726E-2</v>
      </c>
      <c r="P35" s="49">
        <f t="shared" si="0"/>
        <v>1.3972761146087587E-2</v>
      </c>
    </row>
    <row r="36" spans="1:16" x14ac:dyDescent="0.35">
      <c r="A36" s="7"/>
      <c r="B36" s="7"/>
      <c r="C36" s="7"/>
      <c r="D36" s="7"/>
      <c r="E36" s="7"/>
      <c r="F36" s="7"/>
      <c r="G36" s="7"/>
      <c r="H36" s="7"/>
      <c r="I36" s="7"/>
      <c r="J36" s="7"/>
      <c r="K36" s="2">
        <v>1988</v>
      </c>
      <c r="L36" s="3">
        <v>45501</v>
      </c>
      <c r="M36" s="3">
        <v>32044</v>
      </c>
      <c r="N36" s="2">
        <v>1443</v>
      </c>
      <c r="O36" s="5">
        <f t="shared" si="0"/>
        <v>1.8511886108250941E-2</v>
      </c>
      <c r="P36" s="49">
        <f t="shared" si="0"/>
        <v>1.5110716887889231E-2</v>
      </c>
    </row>
    <row r="37" spans="1:16" x14ac:dyDescent="0.35">
      <c r="A37" s="7"/>
      <c r="B37" s="7"/>
      <c r="C37" s="7"/>
      <c r="D37" s="7"/>
      <c r="E37" s="7"/>
      <c r="F37" s="7"/>
      <c r="G37" s="7"/>
      <c r="H37" s="7"/>
      <c r="I37" s="7"/>
      <c r="J37" s="7"/>
      <c r="K37" s="2">
        <v>1989</v>
      </c>
      <c r="L37" s="3">
        <v>44461</v>
      </c>
      <c r="M37" s="3">
        <v>32072</v>
      </c>
      <c r="N37" s="2">
        <v>509</v>
      </c>
      <c r="O37" s="5">
        <f t="shared" si="0"/>
        <v>-2.285664051339531E-2</v>
      </c>
      <c r="P37" s="49">
        <f t="shared" si="0"/>
        <v>8.7379852702529348E-4</v>
      </c>
    </row>
    <row r="38" spans="1:16" x14ac:dyDescent="0.35">
      <c r="A38" s="7"/>
      <c r="B38" s="7"/>
      <c r="C38" s="7"/>
      <c r="D38" s="7"/>
      <c r="E38" s="7"/>
      <c r="F38" s="7"/>
      <c r="G38" s="7"/>
      <c r="H38" s="7"/>
      <c r="I38" s="7"/>
      <c r="J38" s="7"/>
      <c r="K38" s="2">
        <v>1990</v>
      </c>
      <c r="L38" s="3">
        <v>41344</v>
      </c>
      <c r="M38" s="3">
        <v>30150</v>
      </c>
      <c r="N38" s="2">
        <v>511</v>
      </c>
      <c r="O38" s="5">
        <f t="shared" si="0"/>
        <v>-7.0106385371449087E-2</v>
      </c>
      <c r="P38" s="49">
        <f t="shared" si="0"/>
        <v>-5.9927662758792688E-2</v>
      </c>
    </row>
    <row r="39" spans="1:16" x14ac:dyDescent="0.35">
      <c r="A39" s="7"/>
      <c r="B39" s="7"/>
      <c r="C39" s="7"/>
      <c r="D39" s="7"/>
      <c r="E39" s="7"/>
      <c r="F39" s="7"/>
      <c r="G39" s="7"/>
      <c r="H39" s="7"/>
      <c r="I39" s="7"/>
      <c r="J39" s="7"/>
      <c r="K39" s="2">
        <v>1991</v>
      </c>
      <c r="L39" s="3">
        <v>40062</v>
      </c>
      <c r="M39" s="3">
        <v>30536</v>
      </c>
      <c r="N39" s="2">
        <v>154</v>
      </c>
      <c r="O39" s="5">
        <f t="shared" si="0"/>
        <v>-3.1008126934984559E-2</v>
      </c>
      <c r="P39" s="49">
        <f t="shared" si="0"/>
        <v>1.2802653399668351E-2</v>
      </c>
    </row>
    <row r="40" spans="1:16" x14ac:dyDescent="0.35">
      <c r="A40" s="59"/>
      <c r="B40" s="59"/>
      <c r="C40" s="59"/>
      <c r="D40" s="59"/>
      <c r="E40" s="59"/>
      <c r="F40" s="59"/>
      <c r="G40" s="59"/>
      <c r="H40" s="59"/>
      <c r="I40" s="7"/>
      <c r="J40" s="7"/>
      <c r="K40" s="2">
        <v>1992</v>
      </c>
      <c r="L40" s="3">
        <v>35743</v>
      </c>
      <c r="M40" s="3">
        <v>26402</v>
      </c>
      <c r="N40" s="2">
        <v>58</v>
      </c>
      <c r="O40" s="5">
        <f t="shared" si="0"/>
        <v>-0.10780789775847432</v>
      </c>
      <c r="P40" s="49">
        <f t="shared" si="0"/>
        <v>-0.1353811894157716</v>
      </c>
    </row>
    <row r="41" spans="1:16" x14ac:dyDescent="0.35">
      <c r="A41" s="59"/>
      <c r="B41" s="59"/>
      <c r="C41" s="59"/>
      <c r="D41" s="59"/>
      <c r="E41" s="59"/>
      <c r="F41" s="59"/>
      <c r="G41" s="59"/>
      <c r="H41" s="59"/>
      <c r="I41" s="7"/>
      <c r="J41" s="7"/>
      <c r="K41" s="2">
        <v>1993</v>
      </c>
      <c r="L41" s="3">
        <v>34830</v>
      </c>
      <c r="M41" s="3">
        <v>25316</v>
      </c>
      <c r="N41" s="2">
        <v>59</v>
      </c>
      <c r="O41" s="5">
        <f t="shared" si="0"/>
        <v>-2.5543463055703208E-2</v>
      </c>
      <c r="P41" s="49">
        <f t="shared" si="0"/>
        <v>-4.1133247481251467E-2</v>
      </c>
    </row>
    <row r="42" spans="1:16" x14ac:dyDescent="0.35">
      <c r="A42" s="60"/>
      <c r="B42" s="60"/>
      <c r="C42" s="60"/>
      <c r="D42" s="60"/>
      <c r="E42" s="60"/>
      <c r="F42" s="60"/>
      <c r="G42" s="60"/>
      <c r="H42" s="60"/>
      <c r="I42" s="7"/>
      <c r="K42" s="2">
        <v>1994</v>
      </c>
      <c r="L42" s="3">
        <v>36796</v>
      </c>
      <c r="M42" s="3">
        <v>27486</v>
      </c>
      <c r="N42" s="2">
        <v>68</v>
      </c>
      <c r="O42" s="5">
        <f t="shared" si="0"/>
        <v>5.6445592879701412E-2</v>
      </c>
      <c r="P42" s="49">
        <f t="shared" si="0"/>
        <v>8.5716542897772197E-2</v>
      </c>
    </row>
    <row r="43" spans="1:16" x14ac:dyDescent="0.35">
      <c r="A43" s="62" t="s">
        <v>272</v>
      </c>
      <c r="B43" s="62"/>
      <c r="C43" s="62"/>
      <c r="D43" s="62"/>
      <c r="E43" s="62"/>
      <c r="F43" s="62"/>
      <c r="G43" s="62"/>
      <c r="H43" s="62"/>
      <c r="I43" s="7"/>
      <c r="K43" s="2">
        <v>1995</v>
      </c>
      <c r="L43" s="3">
        <v>36016</v>
      </c>
      <c r="M43" s="3">
        <v>26967</v>
      </c>
      <c r="N43" s="2">
        <v>124</v>
      </c>
      <c r="O43" s="5">
        <f t="shared" si="0"/>
        <v>-2.1197956299597753E-2</v>
      </c>
      <c r="P43" s="49">
        <f t="shared" si="0"/>
        <v>-1.8882340100414785E-2</v>
      </c>
    </row>
    <row r="44" spans="1:16" x14ac:dyDescent="0.35">
      <c r="A44" s="29"/>
      <c r="B44" s="29"/>
      <c r="C44" s="29"/>
      <c r="D44" s="29"/>
      <c r="E44" s="29"/>
      <c r="F44" s="29"/>
      <c r="G44" s="29"/>
      <c r="H44" s="29"/>
      <c r="I44" s="7"/>
      <c r="K44" s="2">
        <v>1996</v>
      </c>
      <c r="L44" s="3">
        <v>36539</v>
      </c>
      <c r="M44" s="3">
        <v>27416</v>
      </c>
      <c r="N44" s="2">
        <v>148</v>
      </c>
      <c r="O44" s="5">
        <f t="shared" si="0"/>
        <v>1.4521323856063972E-2</v>
      </c>
      <c r="P44" s="49">
        <f t="shared" si="0"/>
        <v>1.6649979604701937E-2</v>
      </c>
    </row>
    <row r="45" spans="1:16" x14ac:dyDescent="0.35">
      <c r="A45" s="29"/>
      <c r="B45" s="29"/>
      <c r="C45" s="29"/>
      <c r="D45" s="29"/>
      <c r="E45" s="29"/>
      <c r="F45" s="29"/>
      <c r="G45" s="29"/>
      <c r="H45" s="29"/>
      <c r="I45" s="7"/>
      <c r="K45" s="2">
        <v>1997</v>
      </c>
      <c r="L45" s="3">
        <v>35663</v>
      </c>
      <c r="M45" s="3">
        <v>26576</v>
      </c>
      <c r="N45" s="2">
        <v>175</v>
      </c>
      <c r="O45" s="5">
        <f t="shared" si="0"/>
        <v>-2.397438353540049E-2</v>
      </c>
      <c r="P45" s="49">
        <f t="shared" si="0"/>
        <v>-3.0639042894660018E-2</v>
      </c>
    </row>
    <row r="46" spans="1:16" x14ac:dyDescent="0.35">
      <c r="A46" s="29"/>
      <c r="B46" s="29"/>
      <c r="C46" s="29"/>
      <c r="D46" s="29"/>
      <c r="E46" s="29"/>
      <c r="F46" s="29"/>
      <c r="G46" s="29"/>
      <c r="H46" s="29"/>
      <c r="I46" s="7"/>
      <c r="K46" s="2">
        <v>1998</v>
      </c>
      <c r="L46" s="3">
        <v>36890</v>
      </c>
      <c r="M46" s="3">
        <v>27918</v>
      </c>
      <c r="N46" s="2">
        <v>105</v>
      </c>
      <c r="O46" s="5">
        <f t="shared" si="0"/>
        <v>3.4405406163250385E-2</v>
      </c>
      <c r="P46" s="49">
        <f t="shared" si="0"/>
        <v>5.0496688741721751E-2</v>
      </c>
    </row>
    <row r="47" spans="1:16" x14ac:dyDescent="0.35">
      <c r="A47" s="29"/>
      <c r="B47" s="29"/>
      <c r="C47" s="29"/>
      <c r="D47" s="29"/>
      <c r="E47" s="29"/>
      <c r="F47" s="29"/>
      <c r="G47" s="29"/>
      <c r="H47" s="29"/>
      <c r="I47" s="7"/>
      <c r="K47" s="2">
        <v>1999</v>
      </c>
      <c r="L47" s="3">
        <v>35913</v>
      </c>
      <c r="M47" s="3">
        <v>26817</v>
      </c>
      <c r="N47" s="2">
        <v>99</v>
      </c>
      <c r="O47" s="5">
        <f t="shared" si="0"/>
        <v>-2.648414204391436E-2</v>
      </c>
      <c r="P47" s="49">
        <f t="shared" si="0"/>
        <v>-3.9436922415645781E-2</v>
      </c>
    </row>
    <row r="48" spans="1:16" x14ac:dyDescent="0.35">
      <c r="A48" s="29"/>
      <c r="B48" s="29"/>
      <c r="C48" s="29"/>
      <c r="D48" s="29"/>
      <c r="E48" s="29"/>
      <c r="F48" s="29"/>
      <c r="G48" s="29"/>
      <c r="H48" s="29"/>
      <c r="I48" s="7"/>
      <c r="K48" s="2">
        <v>2000</v>
      </c>
      <c r="L48" s="3">
        <v>36565</v>
      </c>
      <c r="M48" s="3">
        <v>27481</v>
      </c>
      <c r="N48" s="2">
        <v>97</v>
      </c>
      <c r="O48" s="5">
        <f t="shared" si="0"/>
        <v>1.8154985659788903E-2</v>
      </c>
      <c r="P48" s="49">
        <f t="shared" si="0"/>
        <v>2.4760413170749951E-2</v>
      </c>
    </row>
    <row r="49" spans="1:16" x14ac:dyDescent="0.35">
      <c r="A49" s="29"/>
      <c r="B49" s="29"/>
      <c r="C49" s="29"/>
      <c r="D49" s="29"/>
      <c r="E49" s="29"/>
      <c r="F49" s="29"/>
      <c r="G49" s="29"/>
      <c r="H49" s="29"/>
      <c r="I49" s="7"/>
      <c r="K49" s="2">
        <v>2001</v>
      </c>
      <c r="L49" s="3">
        <v>37605</v>
      </c>
      <c r="M49" s="3">
        <v>28654</v>
      </c>
      <c r="N49" s="2">
        <v>110</v>
      </c>
      <c r="O49" s="5">
        <f t="shared" si="0"/>
        <v>2.8442499658142939E-2</v>
      </c>
      <c r="P49" s="49">
        <f t="shared" si="0"/>
        <v>4.2684036243222589E-2</v>
      </c>
    </row>
    <row r="50" spans="1:16" x14ac:dyDescent="0.35">
      <c r="A50" s="29"/>
      <c r="B50" s="29"/>
      <c r="C50" s="29"/>
      <c r="D50" s="29"/>
      <c r="E50" s="29"/>
      <c r="F50" s="29"/>
      <c r="G50" s="29"/>
      <c r="H50" s="29"/>
      <c r="I50" s="7"/>
      <c r="K50" s="2">
        <v>2002</v>
      </c>
      <c r="L50" s="3">
        <v>37743</v>
      </c>
      <c r="M50" s="3">
        <v>28527</v>
      </c>
      <c r="N50" s="2">
        <v>155</v>
      </c>
      <c r="O50" s="5">
        <f t="shared" si="0"/>
        <v>3.669724770642091E-3</v>
      </c>
      <c r="P50" s="49">
        <f t="shared" si="0"/>
        <v>-4.432190968102212E-3</v>
      </c>
    </row>
    <row r="51" spans="1:16" x14ac:dyDescent="0.35">
      <c r="A51" s="29"/>
      <c r="B51" s="29"/>
      <c r="C51" s="29"/>
      <c r="D51" s="29"/>
      <c r="E51" s="29"/>
      <c r="F51" s="29"/>
      <c r="G51" s="29"/>
      <c r="H51" s="29"/>
      <c r="I51" s="7"/>
      <c r="K51" s="2">
        <v>2003</v>
      </c>
      <c r="L51" s="3">
        <v>41145</v>
      </c>
      <c r="M51" s="3">
        <v>31046</v>
      </c>
      <c r="N51" s="2">
        <v>146</v>
      </c>
      <c r="O51" s="5">
        <f t="shared" si="0"/>
        <v>9.0135919243303331E-2</v>
      </c>
      <c r="P51" s="49">
        <f t="shared" si="0"/>
        <v>8.8302310092193359E-2</v>
      </c>
    </row>
    <row r="52" spans="1:16" x14ac:dyDescent="0.35">
      <c r="A52" s="29"/>
      <c r="B52" s="29"/>
      <c r="C52" s="29"/>
      <c r="D52" s="29"/>
      <c r="E52" s="29"/>
      <c r="F52" s="29"/>
      <c r="G52" s="29"/>
      <c r="H52" s="29"/>
      <c r="I52" s="7"/>
      <c r="K52" s="2">
        <v>2004</v>
      </c>
      <c r="L52" s="3">
        <v>40840</v>
      </c>
      <c r="M52" s="3">
        <v>31067</v>
      </c>
      <c r="N52" s="2">
        <v>415</v>
      </c>
      <c r="O52" s="5">
        <f t="shared" si="0"/>
        <v>-7.4128083606757045E-3</v>
      </c>
      <c r="P52" s="49">
        <f t="shared" si="0"/>
        <v>6.7641564130638265E-4</v>
      </c>
    </row>
    <row r="53" spans="1:16" x14ac:dyDescent="0.35">
      <c r="A53" s="29"/>
      <c r="B53" s="29"/>
      <c r="C53" s="29"/>
      <c r="D53" s="29"/>
      <c r="E53" s="29"/>
      <c r="F53" s="29"/>
      <c r="G53" s="29"/>
      <c r="H53" s="29"/>
      <c r="I53" s="7"/>
      <c r="K53" s="2">
        <v>2005</v>
      </c>
      <c r="L53" s="3">
        <v>30983</v>
      </c>
      <c r="M53" s="3">
        <v>21372</v>
      </c>
      <c r="N53" s="2">
        <v>241</v>
      </c>
      <c r="O53" s="5">
        <f t="shared" si="0"/>
        <v>-0.24135651322233109</v>
      </c>
      <c r="P53" s="49">
        <f t="shared" si="0"/>
        <v>-0.31206746708726296</v>
      </c>
    </row>
    <row r="54" spans="1:16" x14ac:dyDescent="0.35">
      <c r="A54" s="29"/>
      <c r="B54" s="29"/>
      <c r="C54" s="29"/>
      <c r="D54" s="29"/>
      <c r="E54" s="29"/>
      <c r="F54" s="29"/>
      <c r="G54" s="29"/>
      <c r="H54" s="29"/>
      <c r="I54" s="7"/>
      <c r="K54" s="2">
        <v>2006</v>
      </c>
      <c r="L54" s="3">
        <v>29086</v>
      </c>
      <c r="M54" s="3">
        <v>19755</v>
      </c>
      <c r="N54" s="2">
        <v>242</v>
      </c>
      <c r="O54" s="5">
        <f t="shared" si="0"/>
        <v>-6.1227124552173717E-2</v>
      </c>
      <c r="P54" s="49">
        <f t="shared" si="0"/>
        <v>-7.5659741718135831E-2</v>
      </c>
    </row>
    <row r="55" spans="1:16" x14ac:dyDescent="0.35">
      <c r="A55" s="29"/>
      <c r="B55" s="29"/>
      <c r="C55" s="29"/>
      <c r="D55" s="29"/>
      <c r="E55" s="29"/>
      <c r="F55" s="29"/>
      <c r="G55" s="29"/>
      <c r="H55" s="29"/>
      <c r="I55" s="7"/>
      <c r="K55" s="2">
        <v>2007</v>
      </c>
      <c r="L55" s="3">
        <v>27014</v>
      </c>
      <c r="M55" s="3">
        <v>18344</v>
      </c>
      <c r="N55" s="2">
        <v>380</v>
      </c>
      <c r="O55" s="5">
        <f t="shared" si="0"/>
        <v>-7.1237021247335441E-2</v>
      </c>
      <c r="P55" s="49">
        <f t="shared" si="0"/>
        <v>-7.1424955707415805E-2</v>
      </c>
    </row>
    <row r="56" spans="1:16" x14ac:dyDescent="0.35">
      <c r="A56" s="29"/>
      <c r="B56" s="29"/>
      <c r="C56" s="29"/>
      <c r="D56" s="29"/>
      <c r="E56" s="29"/>
      <c r="F56" s="29"/>
      <c r="G56" s="29"/>
      <c r="H56" s="29"/>
      <c r="I56" s="7"/>
      <c r="K56" s="2">
        <v>2008</v>
      </c>
      <c r="L56" s="3">
        <v>25572</v>
      </c>
      <c r="M56" s="3">
        <v>17551</v>
      </c>
      <c r="N56" s="2">
        <v>83</v>
      </c>
      <c r="O56" s="5">
        <f t="shared" si="0"/>
        <v>-5.3379729029392142E-2</v>
      </c>
      <c r="P56" s="49">
        <f t="shared" si="0"/>
        <v>-4.3229393807239447E-2</v>
      </c>
    </row>
    <row r="57" spans="1:16" x14ac:dyDescent="0.35">
      <c r="I57" s="7"/>
      <c r="K57" s="2">
        <v>2009</v>
      </c>
      <c r="L57" s="2">
        <v>26605</v>
      </c>
      <c r="M57" s="2">
        <v>18317</v>
      </c>
      <c r="N57" s="2">
        <v>85</v>
      </c>
      <c r="O57" s="5">
        <f t="shared" ref="O57:O58" si="1">(L57/L56)-1</f>
        <v>4.0395745346472722E-2</v>
      </c>
      <c r="P57" s="49">
        <f t="shared" ref="P57:P58" si="2">(M57/M56)-1</f>
        <v>4.3644236795624236E-2</v>
      </c>
    </row>
    <row r="58" spans="1:16" x14ac:dyDescent="0.35">
      <c r="A58" s="27"/>
      <c r="B58" s="27"/>
      <c r="C58" s="27"/>
      <c r="D58" s="27"/>
      <c r="E58" s="27"/>
      <c r="F58" s="27"/>
      <c r="G58" s="27"/>
      <c r="H58" s="27"/>
      <c r="I58" s="7"/>
      <c r="K58" s="2">
        <v>2010</v>
      </c>
      <c r="L58" s="2">
        <v>27869</v>
      </c>
      <c r="M58" s="2">
        <v>19375</v>
      </c>
      <c r="N58" s="2">
        <v>118</v>
      </c>
      <c r="O58" s="5">
        <f t="shared" si="1"/>
        <v>4.7509866566434855E-2</v>
      </c>
      <c r="P58" s="49">
        <f t="shared" si="2"/>
        <v>5.7760550308456615E-2</v>
      </c>
    </row>
    <row r="59" spans="1:16" x14ac:dyDescent="0.35">
      <c r="A59" s="58"/>
      <c r="B59" s="58"/>
      <c r="C59" s="58"/>
      <c r="D59" s="58"/>
      <c r="E59" s="58"/>
      <c r="F59" s="58"/>
      <c r="G59" s="58"/>
      <c r="H59" s="58"/>
      <c r="I59" s="7"/>
      <c r="N59" s="2"/>
      <c r="O59" s="5"/>
      <c r="P59" s="5"/>
    </row>
    <row r="60" spans="1:16" x14ac:dyDescent="0.35">
      <c r="A60" s="7"/>
      <c r="B60" s="7"/>
      <c r="C60" s="7"/>
      <c r="D60" s="7"/>
      <c r="E60" s="7"/>
      <c r="F60" s="7"/>
      <c r="G60" s="7"/>
      <c r="H60" s="7"/>
      <c r="I60" s="7"/>
      <c r="N60" s="2"/>
      <c r="O60" s="5"/>
      <c r="P60" s="5"/>
    </row>
    <row r="61" spans="1:16" x14ac:dyDescent="0.35">
      <c r="A61" s="7"/>
      <c r="B61" s="7"/>
      <c r="C61" s="7"/>
      <c r="D61" s="7"/>
      <c r="E61" s="7"/>
      <c r="F61" s="7"/>
      <c r="G61" s="7"/>
      <c r="H61" s="7"/>
      <c r="N61" s="2"/>
      <c r="O61" s="5"/>
      <c r="P61" s="5"/>
    </row>
    <row r="62" spans="1:16" x14ac:dyDescent="0.35">
      <c r="K62" t="s">
        <v>38</v>
      </c>
      <c r="N62" s="2"/>
      <c r="O62" s="5"/>
      <c r="P62" s="5"/>
    </row>
    <row r="63" spans="1:16" x14ac:dyDescent="0.35">
      <c r="K63" t="s">
        <v>39</v>
      </c>
      <c r="N63" s="2"/>
      <c r="O63" s="5"/>
      <c r="P63" s="5"/>
    </row>
    <row r="64" spans="1:16" x14ac:dyDescent="0.35">
      <c r="K64" t="s">
        <v>40</v>
      </c>
      <c r="N64" s="2"/>
      <c r="O64" s="5"/>
      <c r="P64" s="5"/>
    </row>
    <row r="65" spans="11:16" x14ac:dyDescent="0.35">
      <c r="N65" s="2"/>
      <c r="O65" s="5"/>
      <c r="P65" s="5"/>
    </row>
    <row r="66" spans="11:16" x14ac:dyDescent="0.35">
      <c r="K66" t="s">
        <v>253</v>
      </c>
      <c r="N66" s="2"/>
      <c r="O66" s="5"/>
      <c r="P66" s="5"/>
    </row>
    <row r="67" spans="11:16" x14ac:dyDescent="0.35">
      <c r="K67" t="s">
        <v>252</v>
      </c>
      <c r="N67" s="2"/>
      <c r="O67" s="5"/>
      <c r="P67" s="5"/>
    </row>
    <row r="68" spans="11:16" x14ac:dyDescent="0.35">
      <c r="N68" s="2"/>
      <c r="O68" s="5"/>
      <c r="P68" s="5"/>
    </row>
    <row r="69" spans="11:16" x14ac:dyDescent="0.35">
      <c r="N69" s="2"/>
      <c r="O69" s="5"/>
      <c r="P69" s="5"/>
    </row>
    <row r="70" spans="11:16" x14ac:dyDescent="0.35">
      <c r="L70" t="s">
        <v>41</v>
      </c>
      <c r="M70" t="s">
        <v>255</v>
      </c>
      <c r="O70" s="5"/>
      <c r="P70" s="5"/>
    </row>
    <row r="71" spans="11:16" x14ac:dyDescent="0.35">
      <c r="O71" s="5"/>
      <c r="P71" s="5"/>
    </row>
    <row r="72" spans="11:16" x14ac:dyDescent="0.35">
      <c r="K72" t="s">
        <v>42</v>
      </c>
      <c r="L72" s="8">
        <f>AVERAGE(L3:L8)</f>
        <v>61149.333333333336</v>
      </c>
      <c r="M72" s="8">
        <f>AVERAGE(M3:M8)</f>
        <v>52267.666666666664</v>
      </c>
      <c r="O72" s="5"/>
      <c r="P72" s="5"/>
    </row>
    <row r="73" spans="11:16" x14ac:dyDescent="0.35">
      <c r="K73" t="s">
        <v>43</v>
      </c>
      <c r="L73" s="8">
        <f>AVERAGE(L9:L18)</f>
        <v>58014.6</v>
      </c>
      <c r="M73" s="8">
        <f>AVERAGE(M9:M18)</f>
        <v>51513.2</v>
      </c>
      <c r="O73" s="5"/>
      <c r="P73" s="5"/>
    </row>
    <row r="74" spans="11:16" x14ac:dyDescent="0.35">
      <c r="K74" t="s">
        <v>44</v>
      </c>
      <c r="L74" s="8">
        <f>AVERAGE(L19:L28)</f>
        <v>40483.9</v>
      </c>
      <c r="M74" s="8">
        <f>AVERAGE(M19:M28)</f>
        <v>32010.7</v>
      </c>
      <c r="O74" s="5"/>
      <c r="P74" s="5"/>
    </row>
    <row r="75" spans="11:16" x14ac:dyDescent="0.35">
      <c r="K75" t="s">
        <v>45</v>
      </c>
      <c r="L75" s="8">
        <f>AVERAGE(L29:L38)</f>
        <v>41776.9</v>
      </c>
      <c r="M75" s="8">
        <f>AVERAGE(M29:M38)</f>
        <v>30038.6</v>
      </c>
      <c r="O75" s="5"/>
      <c r="P75" s="5"/>
    </row>
    <row r="76" spans="11:16" x14ac:dyDescent="0.35">
      <c r="K76" t="s">
        <v>46</v>
      </c>
      <c r="L76" s="8">
        <f>AVERAGE(L39:L48)</f>
        <v>36501.699999999997</v>
      </c>
      <c r="M76" s="8">
        <f>AVERAGE(M39:M48)</f>
        <v>27291.5</v>
      </c>
      <c r="O76" s="5"/>
      <c r="P76" s="5"/>
    </row>
    <row r="77" spans="11:16" x14ac:dyDescent="0.35">
      <c r="K77" t="s">
        <v>47</v>
      </c>
      <c r="L77" s="8">
        <f>AVERAGE(L49:L56)</f>
        <v>33748.5</v>
      </c>
      <c r="M77" s="8">
        <f>AVERAGE(M49:M56)</f>
        <v>24539.5</v>
      </c>
      <c r="O77" s="5"/>
      <c r="P77" s="5"/>
    </row>
  </sheetData>
  <mergeCells count="11">
    <mergeCell ref="A59:H59"/>
    <mergeCell ref="A40:H40"/>
    <mergeCell ref="A2:H2"/>
    <mergeCell ref="A3:H3"/>
    <mergeCell ref="A42:H42"/>
    <mergeCell ref="A41:H41"/>
    <mergeCell ref="A20:H20"/>
    <mergeCell ref="A23:H23"/>
    <mergeCell ref="A22:H22"/>
    <mergeCell ref="A43:H43"/>
    <mergeCell ref="A21:H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6"/>
  <sheetViews>
    <sheetView workbookViewId="0"/>
  </sheetViews>
  <sheetFormatPr defaultRowHeight="14.5" x14ac:dyDescent="0.35"/>
  <sheetData>
    <row r="1" spans="1:42" ht="103.5" customHeight="1" x14ac:dyDescent="0.35">
      <c r="A1" s="7"/>
      <c r="B1" s="7"/>
      <c r="C1" s="7"/>
      <c r="D1" s="7"/>
      <c r="E1" s="7"/>
      <c r="F1" s="7"/>
      <c r="G1" s="7"/>
      <c r="H1" s="7"/>
      <c r="O1" s="13" t="s">
        <v>27</v>
      </c>
      <c r="P1" s="13" t="s">
        <v>34</v>
      </c>
      <c r="Q1" s="13" t="s">
        <v>35</v>
      </c>
      <c r="R1" s="14" t="s">
        <v>36</v>
      </c>
      <c r="S1" s="14" t="s">
        <v>37</v>
      </c>
      <c r="T1" s="15" t="s">
        <v>27</v>
      </c>
      <c r="U1" s="15" t="s">
        <v>28</v>
      </c>
      <c r="V1" s="15" t="s">
        <v>31</v>
      </c>
      <c r="W1" s="16" t="s">
        <v>32</v>
      </c>
      <c r="X1" s="16" t="s">
        <v>33</v>
      </c>
      <c r="Y1" s="15" t="s">
        <v>29</v>
      </c>
      <c r="Z1" s="15" t="s">
        <v>30</v>
      </c>
      <c r="AA1" s="15" t="s">
        <v>64</v>
      </c>
      <c r="AB1" s="15" t="s">
        <v>69</v>
      </c>
      <c r="AC1" s="16" t="s">
        <v>67</v>
      </c>
      <c r="AD1" s="19" t="s">
        <v>68</v>
      </c>
      <c r="AE1" s="12" t="s">
        <v>57</v>
      </c>
      <c r="AF1" s="2"/>
      <c r="AG1" s="2"/>
      <c r="AH1" s="2"/>
      <c r="AI1" s="2"/>
      <c r="AJ1" s="2"/>
      <c r="AK1" s="2"/>
      <c r="AL1" s="2"/>
      <c r="AM1" s="2"/>
      <c r="AN1" s="2"/>
      <c r="AO1" s="2"/>
    </row>
    <row r="2" spans="1:42" x14ac:dyDescent="0.35">
      <c r="A2" s="59"/>
      <c r="B2" s="59"/>
      <c r="C2" s="59"/>
      <c r="D2" s="59"/>
      <c r="E2" s="59"/>
      <c r="F2" s="59"/>
      <c r="G2" s="59"/>
      <c r="H2" s="59"/>
      <c r="L2" t="s">
        <v>282</v>
      </c>
      <c r="O2" s="2">
        <v>1955</v>
      </c>
      <c r="P2" s="3">
        <v>75328</v>
      </c>
      <c r="Q2" s="3">
        <v>60096</v>
      </c>
      <c r="R2" s="5">
        <v>-0.67</v>
      </c>
      <c r="S2" s="5">
        <v>-0.63524463300497103</v>
      </c>
      <c r="T2" s="9">
        <v>1955</v>
      </c>
      <c r="U2" s="9">
        <v>2</v>
      </c>
      <c r="V2" s="9">
        <v>0</v>
      </c>
      <c r="W2" s="6">
        <f>AVERAGE(15,17)</f>
        <v>16</v>
      </c>
      <c r="X2" s="6">
        <f>AVERAGE(4,4,)</f>
        <v>2.6666666666666665</v>
      </c>
      <c r="Y2" s="9">
        <v>0</v>
      </c>
      <c r="Z2" s="9">
        <v>1</v>
      </c>
      <c r="AA2" s="9">
        <f>Y2+Z2</f>
        <v>1</v>
      </c>
      <c r="AB2" s="9">
        <v>0</v>
      </c>
      <c r="AC2" s="6">
        <f>AVERAGE(15)</f>
        <v>15</v>
      </c>
      <c r="AD2" s="6">
        <f>AVERAGE(4)</f>
        <v>4</v>
      </c>
      <c r="AE2" s="2" t="s">
        <v>23</v>
      </c>
      <c r="AF2" s="17"/>
      <c r="AG2" s="17"/>
      <c r="AH2" s="17"/>
      <c r="AI2" s="17"/>
      <c r="AJ2" s="17"/>
      <c r="AK2" s="17"/>
      <c r="AL2" s="17"/>
      <c r="AM2" s="17"/>
      <c r="AN2" s="17"/>
      <c r="AO2" s="17"/>
    </row>
    <row r="3" spans="1:42" x14ac:dyDescent="0.35">
      <c r="A3" s="59"/>
      <c r="B3" s="59"/>
      <c r="C3" s="59"/>
      <c r="D3" s="59"/>
      <c r="E3" s="59"/>
      <c r="F3" s="59"/>
      <c r="G3" s="59"/>
      <c r="H3" s="59"/>
      <c r="O3" s="2">
        <v>1956</v>
      </c>
      <c r="P3" s="4">
        <v>68810</v>
      </c>
      <c r="Q3" s="3">
        <v>59755</v>
      </c>
      <c r="R3" s="5">
        <f>(P3/P2)-1</f>
        <v>-8.6528249787595546E-2</v>
      </c>
      <c r="S3" s="5">
        <f>(Q3/Q2)-1</f>
        <v>-5.6742545260916044E-3</v>
      </c>
      <c r="T3" s="9">
        <v>1956</v>
      </c>
      <c r="U3" s="9">
        <v>0</v>
      </c>
      <c r="V3" s="9" t="s">
        <v>23</v>
      </c>
      <c r="W3" s="6" t="s">
        <v>23</v>
      </c>
      <c r="X3" s="6" t="s">
        <v>23</v>
      </c>
      <c r="Y3" s="9">
        <v>0</v>
      </c>
      <c r="Z3" s="9">
        <v>0</v>
      </c>
      <c r="AA3" s="9">
        <f t="shared" ref="AA3:AA57" si="0">Y3+Z3</f>
        <v>0</v>
      </c>
      <c r="AB3" s="9" t="s">
        <v>23</v>
      </c>
      <c r="AC3" s="6" t="s">
        <v>23</v>
      </c>
      <c r="AD3" s="6" t="s">
        <v>23</v>
      </c>
      <c r="AE3" s="2" t="s">
        <v>23</v>
      </c>
      <c r="AF3" s="17"/>
    </row>
    <row r="4" spans="1:42" x14ac:dyDescent="0.35">
      <c r="A4" s="29"/>
      <c r="B4" s="29"/>
      <c r="C4" s="29"/>
      <c r="D4" s="29"/>
      <c r="E4" s="29"/>
      <c r="F4" s="29"/>
      <c r="G4" s="29"/>
      <c r="H4" s="29"/>
      <c r="O4" s="2">
        <v>1957</v>
      </c>
      <c r="P4" s="3">
        <v>71043</v>
      </c>
      <c r="Q4" s="3">
        <v>61087</v>
      </c>
      <c r="R4" s="5">
        <f t="shared" ref="R4:S55" si="1">(P4/P3)-1</f>
        <v>3.2451678535096562E-2</v>
      </c>
      <c r="S4" s="5">
        <f t="shared" si="1"/>
        <v>2.2291021671826616E-2</v>
      </c>
      <c r="T4" s="9">
        <v>1957</v>
      </c>
      <c r="U4" s="9">
        <v>0</v>
      </c>
      <c r="V4" s="9" t="s">
        <v>23</v>
      </c>
      <c r="W4" s="6" t="s">
        <v>23</v>
      </c>
      <c r="X4" s="6" t="s">
        <v>23</v>
      </c>
      <c r="Y4" s="9">
        <v>0</v>
      </c>
      <c r="Z4" s="9">
        <v>0</v>
      </c>
      <c r="AA4" s="9">
        <f t="shared" si="0"/>
        <v>0</v>
      </c>
      <c r="AB4" s="9" t="s">
        <v>23</v>
      </c>
      <c r="AC4" s="6" t="s">
        <v>23</v>
      </c>
      <c r="AD4" s="6" t="s">
        <v>23</v>
      </c>
      <c r="AE4" s="2" t="s">
        <v>23</v>
      </c>
      <c r="AF4" s="17"/>
      <c r="AG4" s="7"/>
      <c r="AP4" s="7"/>
    </row>
    <row r="5" spans="1:42" x14ac:dyDescent="0.35">
      <c r="A5" s="29"/>
      <c r="B5" s="29"/>
      <c r="C5" s="29"/>
      <c r="D5" s="29"/>
      <c r="E5" s="29"/>
      <c r="F5" s="29"/>
      <c r="G5" s="29"/>
      <c r="H5" s="29"/>
      <c r="O5" s="2">
        <v>1958</v>
      </c>
      <c r="P5" s="3">
        <v>46024</v>
      </c>
      <c r="Q5" s="3">
        <v>39224</v>
      </c>
      <c r="R5" s="5">
        <f t="shared" si="1"/>
        <v>-0.35216699745224722</v>
      </c>
      <c r="S5" s="5">
        <f t="shared" si="1"/>
        <v>-0.35789938939545241</v>
      </c>
      <c r="T5" s="9">
        <v>1958</v>
      </c>
      <c r="U5" s="9">
        <v>3</v>
      </c>
      <c r="V5" s="9">
        <v>2</v>
      </c>
      <c r="W5" s="6">
        <f>AVERAGE(15, 17,17)</f>
        <v>16.333333333333332</v>
      </c>
      <c r="X5" s="6">
        <f>AVERAGE(4,4,4)</f>
        <v>4</v>
      </c>
      <c r="Y5" s="9">
        <v>2</v>
      </c>
      <c r="Z5" s="9">
        <v>1</v>
      </c>
      <c r="AA5" s="9">
        <f t="shared" si="0"/>
        <v>3</v>
      </c>
      <c r="AB5" s="9">
        <v>2</v>
      </c>
      <c r="AC5" s="6">
        <f>AVERAGE(15,17,17)</f>
        <v>16.333333333333332</v>
      </c>
      <c r="AD5" s="6">
        <f>AVERAGE(4,4,4,)</f>
        <v>3</v>
      </c>
      <c r="AE5" s="2" t="s">
        <v>23</v>
      </c>
      <c r="AF5" s="17"/>
      <c r="AG5" s="7"/>
      <c r="AP5" s="7"/>
    </row>
    <row r="6" spans="1:42" x14ac:dyDescent="0.35">
      <c r="A6" s="29"/>
      <c r="B6" s="29"/>
      <c r="C6" s="29"/>
      <c r="D6" s="29"/>
      <c r="E6" s="29"/>
      <c r="F6" s="29"/>
      <c r="G6" s="29"/>
      <c r="H6" s="29"/>
      <c r="O6" s="2">
        <v>1959</v>
      </c>
      <c r="P6" s="3">
        <v>49827</v>
      </c>
      <c r="Q6" s="3">
        <v>43562</v>
      </c>
      <c r="R6" s="5">
        <f t="shared" si="1"/>
        <v>8.263080132104994E-2</v>
      </c>
      <c r="S6" s="5">
        <f t="shared" si="1"/>
        <v>0.11059555374260666</v>
      </c>
      <c r="T6" s="9">
        <v>1959</v>
      </c>
      <c r="U6" s="9">
        <v>3</v>
      </c>
      <c r="V6" s="9">
        <v>1</v>
      </c>
      <c r="W6" s="6">
        <f>AVERAGE(16,8,16)</f>
        <v>13.333333333333334</v>
      </c>
      <c r="X6" s="6">
        <f>AVERAGE(4,3,4)</f>
        <v>3.6666666666666665</v>
      </c>
      <c r="Y6" s="9">
        <v>0</v>
      </c>
      <c r="Z6" s="9">
        <v>3</v>
      </c>
      <c r="AA6" s="9">
        <f t="shared" si="0"/>
        <v>3</v>
      </c>
      <c r="AB6" s="9">
        <v>1</v>
      </c>
      <c r="AC6" s="6">
        <f>AVERAGE(16,8,16)</f>
        <v>13.333333333333334</v>
      </c>
      <c r="AD6" s="6">
        <f>AVERAGE(4,3,4)</f>
        <v>3.6666666666666665</v>
      </c>
      <c r="AE6" s="2" t="s">
        <v>23</v>
      </c>
      <c r="AF6" s="17"/>
      <c r="AG6" s="7"/>
      <c r="AP6" s="7"/>
    </row>
    <row r="7" spans="1:42" x14ac:dyDescent="0.35">
      <c r="A7" s="29"/>
      <c r="B7" s="29"/>
      <c r="C7" s="29"/>
      <c r="D7" s="29"/>
      <c r="E7" s="29"/>
      <c r="F7" s="29"/>
      <c r="G7" s="29"/>
      <c r="H7" s="29"/>
      <c r="O7" s="2">
        <v>1960</v>
      </c>
      <c r="P7" s="3">
        <v>55864</v>
      </c>
      <c r="Q7" s="3">
        <v>49882</v>
      </c>
      <c r="R7" s="5">
        <f t="shared" si="1"/>
        <v>0.1211592108696089</v>
      </c>
      <c r="S7" s="5">
        <f t="shared" si="1"/>
        <v>0.14508057481291026</v>
      </c>
      <c r="T7" s="9">
        <v>1960</v>
      </c>
      <c r="U7" s="9">
        <v>2</v>
      </c>
      <c r="V7" s="9">
        <v>1</v>
      </c>
      <c r="W7" s="6">
        <f>AVERAGE(17,16)</f>
        <v>16.5</v>
      </c>
      <c r="X7" s="6">
        <f>AVERAGE(4,4)</f>
        <v>4</v>
      </c>
      <c r="Y7" s="9">
        <v>0</v>
      </c>
      <c r="Z7" s="9">
        <v>1</v>
      </c>
      <c r="AA7" s="9">
        <f t="shared" si="0"/>
        <v>1</v>
      </c>
      <c r="AB7" s="9">
        <v>0</v>
      </c>
      <c r="AC7" s="6">
        <v>16</v>
      </c>
      <c r="AD7" s="6">
        <v>4</v>
      </c>
      <c r="AE7" s="2" t="s">
        <v>23</v>
      </c>
      <c r="AF7" s="17"/>
      <c r="AG7" s="7"/>
      <c r="AP7" s="7"/>
    </row>
    <row r="8" spans="1:42" x14ac:dyDescent="0.35">
      <c r="A8" s="29"/>
      <c r="B8" s="29"/>
      <c r="C8" s="29"/>
      <c r="D8" s="29"/>
      <c r="E8" s="29"/>
      <c r="F8" s="29"/>
      <c r="G8" s="29"/>
      <c r="H8" s="29"/>
      <c r="O8" s="2">
        <v>1961</v>
      </c>
      <c r="P8" s="3">
        <v>57694</v>
      </c>
      <c r="Q8" s="3">
        <v>51674</v>
      </c>
      <c r="R8" s="5">
        <f t="shared" si="1"/>
        <v>3.2758126879564697E-2</v>
      </c>
      <c r="S8" s="5">
        <f t="shared" si="1"/>
        <v>3.5924782486668638E-2</v>
      </c>
      <c r="T8" s="9">
        <v>1961</v>
      </c>
      <c r="U8" s="9">
        <v>2</v>
      </c>
      <c r="V8" s="9">
        <v>0</v>
      </c>
      <c r="W8" s="6">
        <f>AVERAGE(15,15)</f>
        <v>15</v>
      </c>
      <c r="X8" s="6">
        <f>AVERAGE(4,4)</f>
        <v>4</v>
      </c>
      <c r="Y8" s="9">
        <v>0</v>
      </c>
      <c r="Z8" s="9">
        <v>2</v>
      </c>
      <c r="AA8" s="9">
        <f t="shared" si="0"/>
        <v>2</v>
      </c>
      <c r="AB8" s="9">
        <v>0</v>
      </c>
      <c r="AC8" s="6">
        <f>AVERAGE(15,15)</f>
        <v>15</v>
      </c>
      <c r="AD8" s="6">
        <f>AVERAGE(4,4)</f>
        <v>4</v>
      </c>
      <c r="AE8" s="2" t="s">
        <v>23</v>
      </c>
      <c r="AF8" s="17"/>
      <c r="AG8" s="7"/>
      <c r="AP8" s="7"/>
    </row>
    <row r="9" spans="1:42" x14ac:dyDescent="0.35">
      <c r="A9" s="29"/>
      <c r="B9" s="29"/>
      <c r="C9" s="29"/>
      <c r="D9" s="29"/>
      <c r="E9" s="29"/>
      <c r="F9" s="29"/>
      <c r="G9" s="29"/>
      <c r="H9" s="29"/>
      <c r="O9" s="2">
        <v>1962</v>
      </c>
      <c r="P9" s="3">
        <v>60947</v>
      </c>
      <c r="Q9" s="3">
        <v>55707</v>
      </c>
      <c r="R9" s="5">
        <f t="shared" si="1"/>
        <v>5.6383679412070675E-2</v>
      </c>
      <c r="S9" s="5">
        <f t="shared" si="1"/>
        <v>7.8046986879281688E-2</v>
      </c>
      <c r="T9" s="9">
        <v>1962</v>
      </c>
      <c r="U9" s="9">
        <v>3</v>
      </c>
      <c r="V9" s="9">
        <v>2</v>
      </c>
      <c r="W9" s="6">
        <f>AVERAGE(17,17,15)</f>
        <v>16.333333333333332</v>
      </c>
      <c r="X9" s="6">
        <f>AVERAGE(4,4,4)</f>
        <v>4</v>
      </c>
      <c r="Y9" s="9">
        <v>2</v>
      </c>
      <c r="Z9" s="9">
        <v>1</v>
      </c>
      <c r="AA9" s="9">
        <f t="shared" si="0"/>
        <v>3</v>
      </c>
      <c r="AB9" s="9">
        <v>2</v>
      </c>
      <c r="AC9" s="6">
        <f>AVERAGE(17,17,15)</f>
        <v>16.333333333333332</v>
      </c>
      <c r="AD9" s="6">
        <f>AVERAGE(4,4,4)</f>
        <v>4</v>
      </c>
      <c r="AE9" s="2" t="s">
        <v>23</v>
      </c>
      <c r="AF9" s="17"/>
      <c r="AG9" s="7"/>
      <c r="AP9" s="7"/>
    </row>
    <row r="10" spans="1:42" x14ac:dyDescent="0.35">
      <c r="A10" s="29"/>
      <c r="B10" s="29"/>
      <c r="C10" s="29"/>
      <c r="D10" s="29"/>
      <c r="E10" s="29"/>
      <c r="F10" s="29"/>
      <c r="G10" s="29"/>
      <c r="H10" s="29"/>
      <c r="O10" s="2">
        <v>1963</v>
      </c>
      <c r="P10" s="3">
        <v>56910</v>
      </c>
      <c r="Q10" s="3">
        <v>51861</v>
      </c>
      <c r="R10" s="5">
        <f t="shared" si="1"/>
        <v>-6.6237878812738904E-2</v>
      </c>
      <c r="S10" s="5">
        <f t="shared" si="1"/>
        <v>-6.9039797511982304E-2</v>
      </c>
      <c r="T10" s="9">
        <v>1963</v>
      </c>
      <c r="U10" s="9">
        <v>3</v>
      </c>
      <c r="V10" s="9">
        <v>2</v>
      </c>
      <c r="W10" s="6">
        <f>AVERAGE(17,17,15)</f>
        <v>16.333333333333332</v>
      </c>
      <c r="X10" s="6">
        <f>AVERAGE(4,4,4)</f>
        <v>4</v>
      </c>
      <c r="Y10" s="9">
        <v>2</v>
      </c>
      <c r="Z10" s="9">
        <v>1</v>
      </c>
      <c r="AA10" s="9">
        <f t="shared" si="0"/>
        <v>3</v>
      </c>
      <c r="AB10" s="9">
        <v>2</v>
      </c>
      <c r="AC10" s="6">
        <f>AVERAGE(17,17,15)</f>
        <v>16.333333333333332</v>
      </c>
      <c r="AD10" s="6">
        <f>AVERAGE(4,4,4)</f>
        <v>4</v>
      </c>
      <c r="AE10" s="2" t="s">
        <v>23</v>
      </c>
      <c r="AF10" s="17"/>
      <c r="AG10" s="7"/>
      <c r="AP10" s="7"/>
    </row>
    <row r="11" spans="1:42" x14ac:dyDescent="0.35">
      <c r="A11" s="29"/>
      <c r="B11" s="29"/>
      <c r="C11" s="29"/>
      <c r="D11" s="29"/>
      <c r="E11" s="29"/>
      <c r="F11" s="29"/>
      <c r="G11" s="29"/>
      <c r="H11" s="29"/>
      <c r="O11" s="2">
        <v>1964</v>
      </c>
      <c r="P11" s="3">
        <v>62596</v>
      </c>
      <c r="Q11" s="3">
        <v>57786</v>
      </c>
      <c r="R11" s="5">
        <f t="shared" si="1"/>
        <v>9.9912141978562685E-2</v>
      </c>
      <c r="S11" s="5">
        <f t="shared" si="1"/>
        <v>0.11424770058425415</v>
      </c>
      <c r="T11" s="9">
        <v>1964</v>
      </c>
      <c r="U11" s="9">
        <v>3</v>
      </c>
      <c r="V11" s="9">
        <v>2</v>
      </c>
      <c r="W11" s="6">
        <f>AVERAGE(17,17,15)</f>
        <v>16.333333333333332</v>
      </c>
      <c r="X11" s="6">
        <f>AVERAGE(4,4,4)</f>
        <v>4</v>
      </c>
      <c r="Y11" s="9">
        <v>0</v>
      </c>
      <c r="Z11" s="9">
        <v>2</v>
      </c>
      <c r="AA11" s="9">
        <f t="shared" si="0"/>
        <v>2</v>
      </c>
      <c r="AB11" s="9">
        <v>1</v>
      </c>
      <c r="AC11" s="6">
        <f>AVERAGE(17,15)</f>
        <v>16</v>
      </c>
      <c r="AD11" s="6">
        <f>AVERAGE(4,4)</f>
        <v>4</v>
      </c>
      <c r="AE11" s="2" t="s">
        <v>23</v>
      </c>
      <c r="AF11" s="17"/>
      <c r="AG11" s="7"/>
      <c r="AP11" s="7"/>
    </row>
    <row r="12" spans="1:42" x14ac:dyDescent="0.35">
      <c r="A12" s="29"/>
      <c r="B12" s="29"/>
      <c r="C12" s="29"/>
      <c r="D12" s="29"/>
      <c r="E12" s="29"/>
      <c r="F12" s="29"/>
      <c r="G12" s="29"/>
      <c r="H12" s="29"/>
      <c r="O12" s="2">
        <v>1965</v>
      </c>
      <c r="P12" s="3">
        <v>58636</v>
      </c>
      <c r="Q12" s="3">
        <v>54673</v>
      </c>
      <c r="R12" s="5">
        <f t="shared" si="1"/>
        <v>-6.3262828295737705E-2</v>
      </c>
      <c r="S12" s="5">
        <f t="shared" si="1"/>
        <v>-5.3871179870556896E-2</v>
      </c>
      <c r="T12" s="9">
        <v>1965</v>
      </c>
      <c r="U12" s="9">
        <v>1</v>
      </c>
      <c r="V12" s="9">
        <v>0</v>
      </c>
      <c r="W12" s="6">
        <v>16</v>
      </c>
      <c r="X12" s="6">
        <v>4</v>
      </c>
      <c r="Y12" s="9">
        <v>1</v>
      </c>
      <c r="Z12" s="9">
        <v>0</v>
      </c>
      <c r="AA12" s="9">
        <f t="shared" si="0"/>
        <v>1</v>
      </c>
      <c r="AB12" s="9">
        <v>0</v>
      </c>
      <c r="AC12" s="6">
        <v>16</v>
      </c>
      <c r="AD12" s="6">
        <v>4</v>
      </c>
      <c r="AE12" s="2" t="s">
        <v>23</v>
      </c>
      <c r="AF12" s="17"/>
      <c r="AG12" s="7"/>
      <c r="AP12" s="7"/>
    </row>
    <row r="13" spans="1:42" x14ac:dyDescent="0.35">
      <c r="A13" s="29"/>
      <c r="B13" s="29"/>
      <c r="C13" s="29"/>
      <c r="D13" s="29"/>
      <c r="E13" s="29"/>
      <c r="F13" s="29"/>
      <c r="G13" s="29"/>
      <c r="H13" s="29"/>
      <c r="O13" s="2">
        <v>1966</v>
      </c>
      <c r="P13" s="3">
        <v>47076</v>
      </c>
      <c r="Q13" s="3">
        <v>42886</v>
      </c>
      <c r="R13" s="5">
        <f t="shared" si="1"/>
        <v>-0.19714850944812057</v>
      </c>
      <c r="S13" s="5">
        <f t="shared" si="1"/>
        <v>-0.2155908766667276</v>
      </c>
      <c r="T13" s="9">
        <v>1966</v>
      </c>
      <c r="U13" s="9">
        <v>2</v>
      </c>
      <c r="V13" s="9">
        <v>0</v>
      </c>
      <c r="W13" s="6">
        <f>AVERAGE(15,15)</f>
        <v>15</v>
      </c>
      <c r="X13" s="6">
        <f>AVERAGE(4,4)</f>
        <v>4</v>
      </c>
      <c r="Y13" s="9">
        <v>0</v>
      </c>
      <c r="Z13" s="9">
        <v>1</v>
      </c>
      <c r="AA13" s="9">
        <f t="shared" si="0"/>
        <v>1</v>
      </c>
      <c r="AB13" s="9">
        <v>0</v>
      </c>
      <c r="AC13" s="6">
        <v>15</v>
      </c>
      <c r="AD13" s="6">
        <v>4</v>
      </c>
      <c r="AE13" s="2" t="s">
        <v>23</v>
      </c>
      <c r="AF13" s="17"/>
      <c r="AG13" s="7"/>
      <c r="AP13" s="7"/>
    </row>
    <row r="14" spans="1:42" x14ac:dyDescent="0.35">
      <c r="A14" s="29"/>
      <c r="B14" s="29"/>
      <c r="C14" s="29"/>
      <c r="D14" s="29"/>
      <c r="E14" s="29"/>
      <c r="F14" s="29"/>
      <c r="G14" s="29"/>
      <c r="H14" s="29"/>
      <c r="O14" s="2">
        <v>1967</v>
      </c>
      <c r="P14" s="3">
        <v>55057</v>
      </c>
      <c r="Q14" s="3">
        <v>50946</v>
      </c>
      <c r="R14" s="5">
        <f t="shared" si="1"/>
        <v>0.16953436995496651</v>
      </c>
      <c r="S14" s="5">
        <f t="shared" si="1"/>
        <v>0.18794012031898522</v>
      </c>
      <c r="T14" s="9">
        <v>1967</v>
      </c>
      <c r="U14" s="9">
        <v>1</v>
      </c>
      <c r="V14" s="9">
        <v>0</v>
      </c>
      <c r="W14" s="6">
        <v>16</v>
      </c>
      <c r="X14" s="6">
        <v>4</v>
      </c>
      <c r="Y14" s="9">
        <v>0</v>
      </c>
      <c r="Z14" s="9">
        <v>0</v>
      </c>
      <c r="AA14" s="9">
        <f t="shared" si="0"/>
        <v>0</v>
      </c>
      <c r="AB14" s="9" t="s">
        <v>23</v>
      </c>
      <c r="AC14" s="6" t="s">
        <v>23</v>
      </c>
      <c r="AD14" s="6" t="s">
        <v>23</v>
      </c>
      <c r="AE14" s="2" t="s">
        <v>23</v>
      </c>
      <c r="AF14" s="17"/>
      <c r="AG14" s="7"/>
      <c r="AP14" s="7"/>
    </row>
    <row r="15" spans="1:42" x14ac:dyDescent="0.35">
      <c r="A15" s="29"/>
      <c r="B15" s="29"/>
      <c r="C15" s="29"/>
      <c r="D15" s="29"/>
      <c r="E15" s="29"/>
      <c r="F15" s="29"/>
      <c r="G15" s="29"/>
      <c r="H15" s="29"/>
      <c r="O15" s="2">
        <v>1968</v>
      </c>
      <c r="P15" s="3">
        <v>62416</v>
      </c>
      <c r="Q15" s="3">
        <v>51686</v>
      </c>
      <c r="R15" s="5">
        <f t="shared" si="1"/>
        <v>0.13366147810450979</v>
      </c>
      <c r="S15" s="5">
        <f t="shared" si="1"/>
        <v>1.4525183527656749E-2</v>
      </c>
      <c r="T15" s="9">
        <v>1968</v>
      </c>
      <c r="U15" s="9">
        <v>1</v>
      </c>
      <c r="V15" s="9">
        <v>0</v>
      </c>
      <c r="W15" s="6">
        <v>15</v>
      </c>
      <c r="X15" s="6">
        <v>4</v>
      </c>
      <c r="Y15" s="9">
        <v>1</v>
      </c>
      <c r="Z15" s="9">
        <v>0</v>
      </c>
      <c r="AA15" s="9">
        <f t="shared" si="0"/>
        <v>1</v>
      </c>
      <c r="AB15" s="9">
        <v>0</v>
      </c>
      <c r="AC15" s="6">
        <v>15</v>
      </c>
      <c r="AD15" s="6">
        <v>4</v>
      </c>
      <c r="AE15" s="2" t="s">
        <v>23</v>
      </c>
      <c r="AF15" s="17"/>
      <c r="AG15" s="7"/>
      <c r="AP15" s="7"/>
    </row>
    <row r="16" spans="1:42" x14ac:dyDescent="0.35">
      <c r="A16" s="29"/>
      <c r="B16" s="29"/>
      <c r="C16" s="29"/>
      <c r="D16" s="29"/>
      <c r="E16" s="29"/>
      <c r="F16" s="29"/>
      <c r="G16" s="29"/>
      <c r="H16" s="29"/>
      <c r="O16" s="2">
        <v>1969</v>
      </c>
      <c r="P16" s="3">
        <v>66531</v>
      </c>
      <c r="Q16" s="3">
        <v>55284</v>
      </c>
      <c r="R16" s="5">
        <f t="shared" si="1"/>
        <v>6.5928608049218074E-2</v>
      </c>
      <c r="S16" s="5">
        <f t="shared" si="1"/>
        <v>6.9612661068761295E-2</v>
      </c>
      <c r="T16" s="9">
        <v>1969</v>
      </c>
      <c r="U16" s="9">
        <v>1</v>
      </c>
      <c r="V16" s="9">
        <v>1</v>
      </c>
      <c r="W16" s="6">
        <v>7</v>
      </c>
      <c r="X16" s="6">
        <v>3</v>
      </c>
      <c r="Y16" s="9">
        <v>1</v>
      </c>
      <c r="Z16" s="9">
        <v>0</v>
      </c>
      <c r="AA16" s="9">
        <f t="shared" si="0"/>
        <v>1</v>
      </c>
      <c r="AB16" s="9">
        <v>1</v>
      </c>
      <c r="AC16" s="6">
        <v>7</v>
      </c>
      <c r="AD16" s="6">
        <v>3</v>
      </c>
      <c r="AE16" s="2" t="s">
        <v>23</v>
      </c>
      <c r="AF16" s="17"/>
      <c r="AG16" s="7"/>
      <c r="AP16" s="7"/>
    </row>
    <row r="17" spans="1:42" x14ac:dyDescent="0.35">
      <c r="A17" s="29"/>
      <c r="B17" s="29"/>
      <c r="C17" s="29"/>
      <c r="D17" s="29"/>
      <c r="E17" s="29"/>
      <c r="F17" s="29"/>
      <c r="G17" s="29"/>
      <c r="H17" s="29"/>
      <c r="O17" s="2">
        <v>1970</v>
      </c>
      <c r="P17" s="3">
        <v>52283</v>
      </c>
      <c r="Q17" s="3">
        <v>42629</v>
      </c>
      <c r="R17" s="5">
        <f t="shared" si="1"/>
        <v>-0.21415580706738213</v>
      </c>
      <c r="S17" s="5">
        <f t="shared" si="1"/>
        <v>-0.22890890673612618</v>
      </c>
      <c r="T17" s="9">
        <v>1970</v>
      </c>
      <c r="U17" s="9">
        <v>1</v>
      </c>
      <c r="V17" s="9">
        <v>1</v>
      </c>
      <c r="W17" s="6">
        <v>17</v>
      </c>
      <c r="X17" s="6">
        <v>4</v>
      </c>
      <c r="Y17" s="9">
        <v>1</v>
      </c>
      <c r="Z17" s="9">
        <v>0</v>
      </c>
      <c r="AA17" s="9">
        <f t="shared" si="0"/>
        <v>1</v>
      </c>
      <c r="AB17" s="9">
        <v>1</v>
      </c>
      <c r="AC17" s="6">
        <v>17</v>
      </c>
      <c r="AD17" s="6">
        <v>4</v>
      </c>
      <c r="AE17" s="2" t="s">
        <v>23</v>
      </c>
      <c r="AF17" s="17"/>
      <c r="AG17" s="7"/>
      <c r="AP17" s="7"/>
    </row>
    <row r="18" spans="1:42" x14ac:dyDescent="0.35">
      <c r="A18" s="29"/>
      <c r="B18" s="29"/>
      <c r="C18" s="29"/>
      <c r="D18" s="29"/>
      <c r="E18" s="29"/>
      <c r="F18" s="29"/>
      <c r="G18" s="29"/>
      <c r="H18" s="29"/>
      <c r="O18" s="2">
        <v>1971</v>
      </c>
      <c r="P18" s="3">
        <v>40740</v>
      </c>
      <c r="Q18" s="3">
        <v>30453</v>
      </c>
      <c r="R18" s="5">
        <f t="shared" si="1"/>
        <v>-0.22077922077922074</v>
      </c>
      <c r="S18" s="5">
        <f t="shared" si="1"/>
        <v>-0.28562715522297033</v>
      </c>
      <c r="T18" s="9">
        <v>1971</v>
      </c>
      <c r="U18" s="9">
        <v>0</v>
      </c>
      <c r="V18" s="9" t="s">
        <v>23</v>
      </c>
      <c r="W18" s="6" t="s">
        <v>23</v>
      </c>
      <c r="X18" s="6" t="s">
        <v>23</v>
      </c>
      <c r="Y18" s="9">
        <v>0</v>
      </c>
      <c r="Z18" s="9">
        <v>0</v>
      </c>
      <c r="AA18" s="9">
        <f t="shared" si="0"/>
        <v>0</v>
      </c>
      <c r="AB18" s="9" t="s">
        <v>23</v>
      </c>
      <c r="AC18" s="6" t="s">
        <v>23</v>
      </c>
      <c r="AD18" s="6" t="s">
        <v>23</v>
      </c>
      <c r="AE18" s="2" t="s">
        <v>23</v>
      </c>
      <c r="AF18" s="17"/>
      <c r="AG18" s="7"/>
      <c r="AP18" s="7"/>
    </row>
    <row r="19" spans="1:42" x14ac:dyDescent="0.35">
      <c r="A19" s="59" t="s">
        <v>276</v>
      </c>
      <c r="B19" s="59"/>
      <c r="C19" s="59"/>
      <c r="D19" s="59"/>
      <c r="E19" s="59"/>
      <c r="F19" s="59"/>
      <c r="G19" s="59"/>
      <c r="H19" s="59"/>
      <c r="O19" s="2">
        <v>1972</v>
      </c>
      <c r="P19" s="3">
        <v>41600</v>
      </c>
      <c r="Q19" s="3">
        <v>32526</v>
      </c>
      <c r="R19" s="5">
        <f t="shared" si="1"/>
        <v>2.1109474717722065E-2</v>
      </c>
      <c r="S19" s="5">
        <f t="shared" si="1"/>
        <v>6.8072111122057022E-2</v>
      </c>
      <c r="T19" s="9">
        <v>1972</v>
      </c>
      <c r="U19" s="9">
        <v>0</v>
      </c>
      <c r="V19" s="9" t="s">
        <v>23</v>
      </c>
      <c r="W19" s="6" t="s">
        <v>23</v>
      </c>
      <c r="X19" s="6" t="s">
        <v>23</v>
      </c>
      <c r="Y19" s="9">
        <v>0</v>
      </c>
      <c r="Z19" s="9">
        <v>0</v>
      </c>
      <c r="AA19" s="9">
        <f t="shared" si="0"/>
        <v>0</v>
      </c>
      <c r="AB19" s="9" t="s">
        <v>23</v>
      </c>
      <c r="AC19" s="6" t="s">
        <v>23</v>
      </c>
      <c r="AD19" s="6" t="s">
        <v>23</v>
      </c>
      <c r="AE19" s="2" t="s">
        <v>23</v>
      </c>
      <c r="AF19" s="17"/>
      <c r="AG19" s="7"/>
      <c r="AP19" s="7"/>
    </row>
    <row r="20" spans="1:42" x14ac:dyDescent="0.35">
      <c r="A20" s="7"/>
      <c r="B20" s="7"/>
      <c r="C20" s="7"/>
      <c r="D20" s="7"/>
      <c r="E20" s="7"/>
      <c r="F20" s="7"/>
      <c r="G20" s="7"/>
      <c r="H20" s="7"/>
      <c r="O20" s="2">
        <v>1973</v>
      </c>
      <c r="P20" s="3">
        <v>41864</v>
      </c>
      <c r="Q20" s="3">
        <v>34258</v>
      </c>
      <c r="R20" s="5">
        <f t="shared" si="1"/>
        <v>6.3461538461537792E-3</v>
      </c>
      <c r="S20" s="5">
        <f t="shared" si="1"/>
        <v>5.3249707925966838E-2</v>
      </c>
      <c r="T20" s="9">
        <v>1973</v>
      </c>
      <c r="U20" s="9">
        <v>0</v>
      </c>
      <c r="V20" s="9" t="s">
        <v>23</v>
      </c>
      <c r="W20" s="6" t="s">
        <v>23</v>
      </c>
      <c r="X20" s="6" t="s">
        <v>23</v>
      </c>
      <c r="Y20" s="9">
        <v>0</v>
      </c>
      <c r="Z20" s="9">
        <v>0</v>
      </c>
      <c r="AA20" s="9">
        <f t="shared" si="0"/>
        <v>0</v>
      </c>
      <c r="AB20" s="9" t="s">
        <v>23</v>
      </c>
      <c r="AC20" s="6" t="s">
        <v>23</v>
      </c>
      <c r="AD20" s="6" t="s">
        <v>23</v>
      </c>
      <c r="AE20" s="2" t="s">
        <v>23</v>
      </c>
      <c r="AF20" s="17"/>
      <c r="AG20" s="7"/>
      <c r="AP20" s="7"/>
    </row>
    <row r="21" spans="1:42" x14ac:dyDescent="0.35">
      <c r="A21" s="7"/>
      <c r="B21" s="7"/>
      <c r="C21" s="7"/>
      <c r="D21" s="7"/>
      <c r="E21" s="7"/>
      <c r="F21" s="7"/>
      <c r="G21" s="7"/>
      <c r="H21" s="7"/>
      <c r="O21" s="2">
        <v>1974</v>
      </c>
      <c r="P21" s="3">
        <v>40878</v>
      </c>
      <c r="Q21" s="3">
        <v>32528</v>
      </c>
      <c r="R21" s="5">
        <f t="shared" si="1"/>
        <v>-2.3552455570418518E-2</v>
      </c>
      <c r="S21" s="5">
        <f t="shared" si="1"/>
        <v>-5.0499153482398307E-2</v>
      </c>
      <c r="T21" s="9">
        <v>1974</v>
      </c>
      <c r="U21" s="9">
        <v>1</v>
      </c>
      <c r="V21" s="9">
        <v>1</v>
      </c>
      <c r="W21" s="6">
        <v>16</v>
      </c>
      <c r="X21" s="6">
        <v>4</v>
      </c>
      <c r="Y21" s="9">
        <v>1</v>
      </c>
      <c r="Z21" s="9">
        <v>0</v>
      </c>
      <c r="AA21" s="9">
        <f t="shared" si="0"/>
        <v>1</v>
      </c>
      <c r="AB21" s="9">
        <v>1</v>
      </c>
      <c r="AC21" s="6">
        <v>16</v>
      </c>
      <c r="AD21" s="6">
        <v>4</v>
      </c>
      <c r="AE21" s="2" t="s">
        <v>23</v>
      </c>
      <c r="AF21" s="17"/>
      <c r="AG21" s="7"/>
      <c r="AP21" s="7"/>
    </row>
    <row r="22" spans="1:42" x14ac:dyDescent="0.35">
      <c r="A22" s="7"/>
      <c r="B22" s="7"/>
      <c r="C22" s="7"/>
      <c r="D22" s="7"/>
      <c r="E22" s="7"/>
      <c r="F22" s="7"/>
      <c r="G22" s="7"/>
      <c r="H22" s="7"/>
      <c r="O22" s="2">
        <v>1975</v>
      </c>
      <c r="P22" s="3">
        <v>41186</v>
      </c>
      <c r="Q22" s="3">
        <v>33186</v>
      </c>
      <c r="R22" s="5">
        <f t="shared" si="1"/>
        <v>7.5346151964381658E-3</v>
      </c>
      <c r="S22" s="5">
        <f t="shared" si="1"/>
        <v>2.022872602065906E-2</v>
      </c>
      <c r="T22" s="9">
        <v>1975</v>
      </c>
      <c r="U22" s="9">
        <v>1</v>
      </c>
      <c r="V22" s="9">
        <v>1</v>
      </c>
      <c r="W22" s="6">
        <v>17</v>
      </c>
      <c r="X22" s="6">
        <v>4</v>
      </c>
      <c r="Y22" s="9">
        <v>0</v>
      </c>
      <c r="Z22" s="9">
        <v>1</v>
      </c>
      <c r="AA22" s="9">
        <f t="shared" si="0"/>
        <v>1</v>
      </c>
      <c r="AB22" s="9">
        <v>1</v>
      </c>
      <c r="AC22" s="6">
        <v>17</v>
      </c>
      <c r="AD22" s="6">
        <v>4</v>
      </c>
      <c r="AE22" s="2" t="s">
        <v>23</v>
      </c>
      <c r="AF22" s="17"/>
      <c r="AG22" s="7"/>
      <c r="AP22" s="7"/>
    </row>
    <row r="23" spans="1:42" x14ac:dyDescent="0.35">
      <c r="A23" s="7"/>
      <c r="B23" s="7"/>
      <c r="C23" s="7"/>
      <c r="D23" s="7"/>
      <c r="E23" s="7"/>
      <c r="F23" s="7"/>
      <c r="G23" s="7"/>
      <c r="H23" s="7"/>
      <c r="I23" s="7"/>
      <c r="O23" s="2">
        <v>1976</v>
      </c>
      <c r="P23" s="3">
        <v>39133</v>
      </c>
      <c r="Q23" s="3">
        <v>31703</v>
      </c>
      <c r="R23" s="5">
        <f t="shared" si="1"/>
        <v>-4.9847035400378714E-2</v>
      </c>
      <c r="S23" s="5">
        <f t="shared" si="1"/>
        <v>-4.4687518833242956E-2</v>
      </c>
      <c r="T23" s="9">
        <v>1976</v>
      </c>
      <c r="U23" s="9">
        <v>3</v>
      </c>
      <c r="V23" s="9">
        <v>1</v>
      </c>
      <c r="W23" s="6">
        <f>AVERAGE(17, 15,12)</f>
        <v>14.666666666666666</v>
      </c>
      <c r="X23" s="6">
        <f>AVERAGE(4,4,3)</f>
        <v>3.6666666666666665</v>
      </c>
      <c r="Y23" s="9">
        <v>1</v>
      </c>
      <c r="Z23" s="9">
        <v>0</v>
      </c>
      <c r="AA23" s="9">
        <f t="shared" si="0"/>
        <v>1</v>
      </c>
      <c r="AB23" s="9">
        <v>1</v>
      </c>
      <c r="AC23" s="6">
        <v>17</v>
      </c>
      <c r="AD23" s="6">
        <v>4</v>
      </c>
      <c r="AE23" s="2" t="s">
        <v>23</v>
      </c>
      <c r="AF23" s="17"/>
      <c r="AG23" s="7"/>
      <c r="AP23" s="7"/>
    </row>
    <row r="24" spans="1:42" x14ac:dyDescent="0.35">
      <c r="A24" s="59"/>
      <c r="B24" s="59"/>
      <c r="C24" s="59"/>
      <c r="D24" s="59"/>
      <c r="E24" s="59"/>
      <c r="F24" s="59"/>
      <c r="G24" s="59"/>
      <c r="H24" s="59"/>
      <c r="I24" s="7"/>
      <c r="O24" s="2">
        <v>1977</v>
      </c>
      <c r="P24" s="3">
        <v>40075</v>
      </c>
      <c r="Q24" s="3">
        <v>32024</v>
      </c>
      <c r="R24" s="5">
        <f t="shared" si="1"/>
        <v>2.4071755296041664E-2</v>
      </c>
      <c r="S24" s="5">
        <f t="shared" si="1"/>
        <v>1.012522474213795E-2</v>
      </c>
      <c r="T24" s="9">
        <v>1977</v>
      </c>
      <c r="U24" s="9">
        <v>2</v>
      </c>
      <c r="V24" s="9">
        <v>1</v>
      </c>
      <c r="W24" s="6">
        <f>AVERAGE(17,15)</f>
        <v>16</v>
      </c>
      <c r="X24" s="6">
        <f>AVERAGE(4,4)</f>
        <v>4</v>
      </c>
      <c r="Y24" s="9">
        <v>2</v>
      </c>
      <c r="Z24" s="9">
        <v>0</v>
      </c>
      <c r="AA24" s="9">
        <f t="shared" si="0"/>
        <v>2</v>
      </c>
      <c r="AB24" s="9">
        <v>1</v>
      </c>
      <c r="AC24" s="6">
        <f>AVERAGE(17,15)</f>
        <v>16</v>
      </c>
      <c r="AD24" s="6">
        <f>AVERAGE(4,4)</f>
        <v>4</v>
      </c>
      <c r="AE24" s="2" t="s">
        <v>23</v>
      </c>
      <c r="AF24" s="17"/>
      <c r="AG24" s="7"/>
      <c r="AP24" s="7"/>
    </row>
    <row r="25" spans="1:42" x14ac:dyDescent="0.35">
      <c r="A25" s="59"/>
      <c r="B25" s="59"/>
      <c r="C25" s="59"/>
      <c r="D25" s="59"/>
      <c r="E25" s="59"/>
      <c r="F25" s="59"/>
      <c r="G25" s="59"/>
      <c r="H25" s="59"/>
      <c r="I25" s="7"/>
      <c r="O25" s="2">
        <v>1978</v>
      </c>
      <c r="P25" s="3">
        <v>41565</v>
      </c>
      <c r="Q25" s="3">
        <v>33393</v>
      </c>
      <c r="R25" s="5">
        <f t="shared" si="1"/>
        <v>3.7180286961946418E-2</v>
      </c>
      <c r="S25" s="5">
        <f t="shared" si="1"/>
        <v>4.2749188108918368E-2</v>
      </c>
      <c r="T25" s="9">
        <v>1978</v>
      </c>
      <c r="U25" s="9">
        <v>1</v>
      </c>
      <c r="V25" s="9">
        <v>0</v>
      </c>
      <c r="W25" s="6">
        <v>16</v>
      </c>
      <c r="X25" s="6">
        <v>4</v>
      </c>
      <c r="Y25" s="9">
        <v>0</v>
      </c>
      <c r="Z25" s="9">
        <v>0</v>
      </c>
      <c r="AA25" s="9">
        <f t="shared" si="0"/>
        <v>0</v>
      </c>
      <c r="AB25" s="9" t="s">
        <v>23</v>
      </c>
      <c r="AC25" s="6" t="s">
        <v>23</v>
      </c>
      <c r="AD25" s="6" t="s">
        <v>23</v>
      </c>
      <c r="AE25" s="2" t="s">
        <v>23</v>
      </c>
      <c r="AF25" s="17"/>
      <c r="AG25" s="7"/>
      <c r="AP25" s="7"/>
    </row>
    <row r="26" spans="1:42" x14ac:dyDescent="0.35">
      <c r="A26" s="29"/>
      <c r="B26" s="29"/>
      <c r="C26" s="29"/>
      <c r="D26" s="29"/>
      <c r="E26" s="29"/>
      <c r="F26" s="29"/>
      <c r="G26" s="29"/>
      <c r="H26" s="29"/>
      <c r="I26" s="7"/>
      <c r="O26" s="2">
        <v>1979</v>
      </c>
      <c r="P26" s="3">
        <v>39018</v>
      </c>
      <c r="Q26" s="3">
        <v>30389</v>
      </c>
      <c r="R26" s="5">
        <f t="shared" si="1"/>
        <v>-6.1277517141826054E-2</v>
      </c>
      <c r="S26" s="5">
        <f t="shared" si="1"/>
        <v>-8.9958973437546774E-2</v>
      </c>
      <c r="T26" s="9">
        <v>1979</v>
      </c>
      <c r="U26" s="9">
        <v>1</v>
      </c>
      <c r="V26" s="9">
        <v>1</v>
      </c>
      <c r="W26" s="6">
        <f>AVERAGE(17)</f>
        <v>17</v>
      </c>
      <c r="X26" s="6">
        <f>AVERAGE(4)</f>
        <v>4</v>
      </c>
      <c r="Y26" s="9">
        <v>1</v>
      </c>
      <c r="Z26" s="9">
        <v>0</v>
      </c>
      <c r="AA26" s="9">
        <f t="shared" si="0"/>
        <v>1</v>
      </c>
      <c r="AB26" s="9">
        <v>1</v>
      </c>
      <c r="AC26" s="6">
        <v>17</v>
      </c>
      <c r="AD26" s="6">
        <v>4</v>
      </c>
      <c r="AE26" s="2" t="s">
        <v>23</v>
      </c>
      <c r="AF26" s="17"/>
      <c r="AG26" s="7"/>
      <c r="AP26" s="7"/>
    </row>
    <row r="27" spans="1:42" x14ac:dyDescent="0.35">
      <c r="A27" s="29"/>
      <c r="B27" s="29"/>
      <c r="C27" s="29"/>
      <c r="D27" s="29"/>
      <c r="E27" s="29"/>
      <c r="F27" s="29"/>
      <c r="G27" s="29"/>
      <c r="H27" s="29"/>
      <c r="I27" s="7"/>
      <c r="O27" s="2">
        <v>1980</v>
      </c>
      <c r="P27" s="3">
        <v>38780</v>
      </c>
      <c r="Q27" s="3">
        <v>29647</v>
      </c>
      <c r="R27" s="5">
        <f t="shared" si="1"/>
        <v>-6.0997488338715433E-3</v>
      </c>
      <c r="S27" s="5">
        <f t="shared" si="1"/>
        <v>-2.4416729737734011E-2</v>
      </c>
      <c r="T27" s="9">
        <v>1980</v>
      </c>
      <c r="U27" s="9">
        <v>0</v>
      </c>
      <c r="V27" s="9" t="s">
        <v>23</v>
      </c>
      <c r="W27" s="6" t="s">
        <v>23</v>
      </c>
      <c r="X27" s="6" t="s">
        <v>23</v>
      </c>
      <c r="Y27" s="9">
        <v>0</v>
      </c>
      <c r="Z27" s="9">
        <v>0</v>
      </c>
      <c r="AA27" s="9">
        <f t="shared" si="0"/>
        <v>0</v>
      </c>
      <c r="AB27" s="9" t="s">
        <v>23</v>
      </c>
      <c r="AC27" s="6" t="s">
        <v>23</v>
      </c>
      <c r="AD27" s="6" t="s">
        <v>23</v>
      </c>
      <c r="AE27" s="2" t="s">
        <v>23</v>
      </c>
      <c r="AF27" s="17"/>
      <c r="AG27" s="7"/>
      <c r="AP27" s="7"/>
    </row>
    <row r="28" spans="1:42" x14ac:dyDescent="0.35">
      <c r="A28" s="29"/>
      <c r="B28" s="29"/>
      <c r="C28" s="29"/>
      <c r="D28" s="29"/>
      <c r="E28" s="29"/>
      <c r="F28" s="29"/>
      <c r="G28" s="29"/>
      <c r="H28" s="29"/>
      <c r="I28" s="7"/>
      <c r="O28" s="2">
        <v>1981</v>
      </c>
      <c r="P28" s="3">
        <v>38254</v>
      </c>
      <c r="Q28" s="3">
        <v>28486</v>
      </c>
      <c r="R28" s="5">
        <f t="shared" si="1"/>
        <v>-1.3563692625064516E-2</v>
      </c>
      <c r="S28" s="5">
        <f t="shared" si="1"/>
        <v>-3.9160791985698329E-2</v>
      </c>
      <c r="T28" s="9">
        <v>1981</v>
      </c>
      <c r="U28" s="9">
        <v>2</v>
      </c>
      <c r="V28" s="9">
        <v>0</v>
      </c>
      <c r="W28" s="6">
        <f>AVERAGE(17,12)</f>
        <v>14.5</v>
      </c>
      <c r="X28" s="6">
        <f>AVERAGE(4,3)</f>
        <v>3.5</v>
      </c>
      <c r="Y28" s="9">
        <v>1</v>
      </c>
      <c r="Z28" s="9">
        <v>0</v>
      </c>
      <c r="AA28" s="9">
        <f t="shared" si="0"/>
        <v>1</v>
      </c>
      <c r="AB28" s="9">
        <v>0</v>
      </c>
      <c r="AC28" s="6">
        <f>AVERAGE(17,12)</f>
        <v>14.5</v>
      </c>
      <c r="AD28" s="6">
        <f>AVERAGE(4,3)</f>
        <v>3.5</v>
      </c>
      <c r="AE28" s="2" t="s">
        <v>23</v>
      </c>
      <c r="AF28" s="17"/>
      <c r="AG28" s="7"/>
      <c r="AP28" s="7"/>
    </row>
    <row r="29" spans="1:42" x14ac:dyDescent="0.35">
      <c r="A29" s="29"/>
      <c r="B29" s="29"/>
      <c r="C29" s="29"/>
      <c r="D29" s="29"/>
      <c r="E29" s="29"/>
      <c r="F29" s="29"/>
      <c r="G29" s="29"/>
      <c r="H29" s="29"/>
      <c r="I29" s="7"/>
      <c r="O29" s="2">
        <v>1982</v>
      </c>
      <c r="P29" s="3">
        <v>39194</v>
      </c>
      <c r="Q29" s="3">
        <v>28359</v>
      </c>
      <c r="R29" s="5">
        <f t="shared" si="1"/>
        <v>2.4572593715689761E-2</v>
      </c>
      <c r="S29" s="5">
        <f t="shared" si="1"/>
        <v>-4.4583304079196528E-3</v>
      </c>
      <c r="T29" s="9">
        <v>1982</v>
      </c>
      <c r="U29" s="9">
        <v>3</v>
      </c>
      <c r="V29" s="9">
        <v>0</v>
      </c>
      <c r="W29" s="6">
        <f>AVERAGE(15,12,16)</f>
        <v>14.333333333333334</v>
      </c>
      <c r="X29" s="6">
        <f>AVERAGE(4,3,4)</f>
        <v>3.6666666666666665</v>
      </c>
      <c r="Y29" s="9">
        <v>1</v>
      </c>
      <c r="Z29" s="9">
        <v>0</v>
      </c>
      <c r="AA29" s="9">
        <f t="shared" si="0"/>
        <v>1</v>
      </c>
      <c r="AB29" s="9">
        <v>0</v>
      </c>
      <c r="AC29" s="6">
        <v>15</v>
      </c>
      <c r="AD29" s="6">
        <v>4</v>
      </c>
      <c r="AE29" s="2" t="s">
        <v>23</v>
      </c>
      <c r="AF29" s="17"/>
      <c r="AG29" s="7"/>
      <c r="AP29" s="7"/>
    </row>
    <row r="30" spans="1:42" x14ac:dyDescent="0.35">
      <c r="A30" s="29"/>
      <c r="B30" s="29"/>
      <c r="C30" s="29"/>
      <c r="D30" s="29"/>
      <c r="E30" s="29"/>
      <c r="F30" s="29"/>
      <c r="G30" s="29"/>
      <c r="H30" s="29"/>
      <c r="I30" s="7"/>
      <c r="O30" s="2">
        <v>1983</v>
      </c>
      <c r="P30" s="3">
        <v>38705</v>
      </c>
      <c r="Q30" s="3">
        <v>27304</v>
      </c>
      <c r="R30" s="5">
        <f t="shared" si="1"/>
        <v>-1.2476399448895226E-2</v>
      </c>
      <c r="S30" s="5">
        <f t="shared" si="1"/>
        <v>-3.7201593850276771E-2</v>
      </c>
      <c r="T30" s="9">
        <v>1983</v>
      </c>
      <c r="U30" s="9">
        <v>3</v>
      </c>
      <c r="V30" s="9">
        <v>0</v>
      </c>
      <c r="W30" s="6">
        <f>AVERAGE(16,16,16)</f>
        <v>16</v>
      </c>
      <c r="X30" s="6">
        <f>AVERAGE(4,4,4)</f>
        <v>4</v>
      </c>
      <c r="Y30" s="9">
        <v>0</v>
      </c>
      <c r="Z30" s="9">
        <v>1</v>
      </c>
      <c r="AA30" s="9">
        <f t="shared" si="0"/>
        <v>1</v>
      </c>
      <c r="AB30" s="9">
        <v>0</v>
      </c>
      <c r="AC30" s="6">
        <v>16</v>
      </c>
      <c r="AD30" s="6">
        <v>4</v>
      </c>
      <c r="AE30" s="2" t="s">
        <v>23</v>
      </c>
      <c r="AF30" s="17"/>
      <c r="AG30" s="7"/>
      <c r="AP30" s="7"/>
    </row>
    <row r="31" spans="1:42" x14ac:dyDescent="0.35">
      <c r="A31" s="29"/>
      <c r="B31" s="29"/>
      <c r="C31" s="29"/>
      <c r="D31" s="29"/>
      <c r="E31" s="29"/>
      <c r="F31" s="29"/>
      <c r="G31" s="29"/>
      <c r="H31" s="29"/>
      <c r="I31" s="7"/>
      <c r="O31" s="2">
        <v>1984</v>
      </c>
      <c r="P31" s="3">
        <v>40785</v>
      </c>
      <c r="Q31" s="3">
        <v>29221</v>
      </c>
      <c r="R31" s="5">
        <f t="shared" si="1"/>
        <v>5.3739826895749854E-2</v>
      </c>
      <c r="S31" s="5">
        <f t="shared" si="1"/>
        <v>7.0209493114562038E-2</v>
      </c>
      <c r="T31" s="9">
        <v>1984</v>
      </c>
      <c r="U31" s="9">
        <v>0</v>
      </c>
      <c r="V31" s="9">
        <v>0</v>
      </c>
      <c r="W31" s="6" t="s">
        <v>23</v>
      </c>
      <c r="X31" s="6" t="s">
        <v>23</v>
      </c>
      <c r="Y31" s="9">
        <v>0</v>
      </c>
      <c r="Z31" s="9">
        <v>0</v>
      </c>
      <c r="AA31" s="9">
        <f t="shared" si="0"/>
        <v>0</v>
      </c>
      <c r="AB31" s="9" t="s">
        <v>23</v>
      </c>
      <c r="AC31" s="6" t="s">
        <v>23</v>
      </c>
      <c r="AD31" s="6" t="s">
        <v>23</v>
      </c>
      <c r="AE31" s="2" t="s">
        <v>23</v>
      </c>
      <c r="AF31" s="17"/>
      <c r="AG31" s="7"/>
      <c r="AP31" s="7"/>
    </row>
    <row r="32" spans="1:42" x14ac:dyDescent="0.35">
      <c r="A32" s="29"/>
      <c r="B32" s="29"/>
      <c r="C32" s="29"/>
      <c r="D32" s="29"/>
      <c r="E32" s="29"/>
      <c r="F32" s="29"/>
      <c r="G32" s="29"/>
      <c r="H32" s="29"/>
      <c r="I32" s="7"/>
      <c r="O32" s="2">
        <v>1985</v>
      </c>
      <c r="P32" s="3">
        <v>41718</v>
      </c>
      <c r="Q32" s="3">
        <v>30051</v>
      </c>
      <c r="R32" s="5">
        <f t="shared" si="1"/>
        <v>2.2876057374034531E-2</v>
      </c>
      <c r="S32" s="5">
        <f t="shared" si="1"/>
        <v>2.8404229834707806E-2</v>
      </c>
      <c r="T32" s="9">
        <v>1985</v>
      </c>
      <c r="U32" s="9">
        <v>4</v>
      </c>
      <c r="V32" s="9">
        <v>0</v>
      </c>
      <c r="W32" s="6">
        <f>AVERAGE(17,16,16,16)</f>
        <v>16.25</v>
      </c>
      <c r="X32" s="6">
        <f>AVERAGE(4,4,4,4)</f>
        <v>4</v>
      </c>
      <c r="Y32" s="9">
        <v>1</v>
      </c>
      <c r="Z32" s="9">
        <v>1</v>
      </c>
      <c r="AA32" s="9">
        <f t="shared" si="0"/>
        <v>2</v>
      </c>
      <c r="AB32" s="9">
        <v>0</v>
      </c>
      <c r="AC32" s="6">
        <f>AVERAGE(17,16)</f>
        <v>16.5</v>
      </c>
      <c r="AD32" s="6">
        <f>AVERAGE(4,4)</f>
        <v>4</v>
      </c>
      <c r="AE32" s="2" t="s">
        <v>23</v>
      </c>
      <c r="AF32" s="17"/>
      <c r="AG32" s="7"/>
      <c r="AP32" s="7"/>
    </row>
    <row r="33" spans="1:42" x14ac:dyDescent="0.35">
      <c r="A33" s="29"/>
      <c r="B33" s="29"/>
      <c r="C33" s="29"/>
      <c r="D33" s="29"/>
      <c r="E33" s="29"/>
      <c r="F33" s="29"/>
      <c r="G33" s="29"/>
      <c r="H33" s="29"/>
      <c r="I33" s="7"/>
      <c r="O33" s="2">
        <v>1986</v>
      </c>
      <c r="P33" s="3">
        <v>43133</v>
      </c>
      <c r="Q33" s="3">
        <v>31132</v>
      </c>
      <c r="R33" s="5">
        <f t="shared" si="1"/>
        <v>3.3918212761877342E-2</v>
      </c>
      <c r="S33" s="5">
        <f t="shared" si="1"/>
        <v>3.5972180626268724E-2</v>
      </c>
      <c r="T33" s="9">
        <v>1986</v>
      </c>
      <c r="U33" s="9">
        <v>2</v>
      </c>
      <c r="V33" s="9">
        <v>0</v>
      </c>
      <c r="W33" s="6">
        <f>AVERAGE(17,15)</f>
        <v>16</v>
      </c>
      <c r="X33" s="6">
        <f>AVERAGE(4,4)</f>
        <v>4</v>
      </c>
      <c r="Y33" s="9">
        <v>1</v>
      </c>
      <c r="Z33" s="9">
        <v>1</v>
      </c>
      <c r="AA33" s="9">
        <f t="shared" si="0"/>
        <v>2</v>
      </c>
      <c r="AB33" s="9">
        <v>0</v>
      </c>
      <c r="AC33" s="6">
        <f>AVERAGE(17,15)</f>
        <v>16</v>
      </c>
      <c r="AD33" s="6">
        <f>AVERAGE(4,4)</f>
        <v>4</v>
      </c>
      <c r="AE33" s="2" t="s">
        <v>23</v>
      </c>
      <c r="AF33" s="17"/>
      <c r="AG33" s="7"/>
      <c r="AP33" s="7"/>
    </row>
    <row r="34" spans="1:42" x14ac:dyDescent="0.35">
      <c r="A34" s="29"/>
      <c r="B34" s="29"/>
      <c r="C34" s="29"/>
      <c r="D34" s="29"/>
      <c r="E34" s="29"/>
      <c r="F34" s="29"/>
      <c r="G34" s="29"/>
      <c r="H34" s="29"/>
      <c r="I34" s="7"/>
      <c r="O34" s="2">
        <v>1987</v>
      </c>
      <c r="P34" s="3">
        <v>44674</v>
      </c>
      <c r="Q34" s="3">
        <v>31567</v>
      </c>
      <c r="R34" s="5">
        <f t="shared" si="1"/>
        <v>3.5726705770523726E-2</v>
      </c>
      <c r="S34" s="5">
        <f t="shared" si="1"/>
        <v>1.3972761146087587E-2</v>
      </c>
      <c r="T34" s="9">
        <v>1987</v>
      </c>
      <c r="U34" s="9">
        <v>1</v>
      </c>
      <c r="V34" s="9">
        <v>0</v>
      </c>
      <c r="W34" s="6">
        <v>16</v>
      </c>
      <c r="X34" s="6">
        <v>4</v>
      </c>
      <c r="Y34" s="9">
        <v>0</v>
      </c>
      <c r="Z34" s="9">
        <v>0</v>
      </c>
      <c r="AA34" s="9">
        <f t="shared" si="0"/>
        <v>0</v>
      </c>
      <c r="AB34" s="9" t="s">
        <v>23</v>
      </c>
      <c r="AC34" s="6" t="s">
        <v>23</v>
      </c>
      <c r="AD34" s="6" t="s">
        <v>23</v>
      </c>
      <c r="AE34" s="2" t="s">
        <v>23</v>
      </c>
      <c r="AF34" s="17"/>
      <c r="AG34" s="7"/>
      <c r="AP34" s="7"/>
    </row>
    <row r="35" spans="1:42" x14ac:dyDescent="0.35">
      <c r="A35" s="29"/>
      <c r="B35" s="29"/>
      <c r="C35" s="29"/>
      <c r="D35" s="29"/>
      <c r="E35" s="29"/>
      <c r="F35" s="29"/>
      <c r="G35" s="29"/>
      <c r="H35" s="29"/>
      <c r="I35" s="7"/>
      <c r="O35" s="2">
        <v>1988</v>
      </c>
      <c r="P35" s="3">
        <v>45501</v>
      </c>
      <c r="Q35" s="3">
        <v>32044</v>
      </c>
      <c r="R35" s="5">
        <f t="shared" si="1"/>
        <v>1.8511886108250941E-2</v>
      </c>
      <c r="S35" s="5">
        <f t="shared" si="1"/>
        <v>1.5110716887889231E-2</v>
      </c>
      <c r="T35" s="9">
        <v>1988</v>
      </c>
      <c r="U35" s="9">
        <v>0</v>
      </c>
      <c r="V35" s="9" t="s">
        <v>23</v>
      </c>
      <c r="W35" s="6" t="s">
        <v>23</v>
      </c>
      <c r="X35" s="6" t="s">
        <v>23</v>
      </c>
      <c r="Y35" s="9">
        <v>0</v>
      </c>
      <c r="Z35" s="9">
        <v>0</v>
      </c>
      <c r="AA35" s="9">
        <f t="shared" si="0"/>
        <v>0</v>
      </c>
      <c r="AB35" s="9" t="s">
        <v>23</v>
      </c>
      <c r="AC35" s="6" t="s">
        <v>23</v>
      </c>
      <c r="AD35" s="6" t="s">
        <v>23</v>
      </c>
      <c r="AE35" s="2" t="s">
        <v>23</v>
      </c>
      <c r="AF35" s="17"/>
      <c r="AG35" s="7"/>
      <c r="AP35" s="7"/>
    </row>
    <row r="36" spans="1:42" x14ac:dyDescent="0.35">
      <c r="A36" s="29"/>
      <c r="B36" s="29"/>
      <c r="C36" s="29"/>
      <c r="D36" s="29"/>
      <c r="E36" s="29"/>
      <c r="F36" s="29"/>
      <c r="G36" s="29"/>
      <c r="H36" s="29"/>
      <c r="I36" s="7"/>
      <c r="O36" s="2">
        <v>1989</v>
      </c>
      <c r="P36" s="3">
        <v>44461</v>
      </c>
      <c r="Q36" s="3">
        <v>32072</v>
      </c>
      <c r="R36" s="5">
        <f t="shared" si="1"/>
        <v>-2.285664051339531E-2</v>
      </c>
      <c r="S36" s="5">
        <f t="shared" si="1"/>
        <v>8.7379852702529348E-4</v>
      </c>
      <c r="T36" s="9">
        <v>1989</v>
      </c>
      <c r="U36" s="9">
        <v>1</v>
      </c>
      <c r="V36" s="9">
        <v>0</v>
      </c>
      <c r="W36" s="6">
        <v>15</v>
      </c>
      <c r="X36" s="6">
        <v>4</v>
      </c>
      <c r="Y36" s="9">
        <v>1</v>
      </c>
      <c r="Z36" s="9">
        <v>0</v>
      </c>
      <c r="AA36" s="9">
        <f t="shared" si="0"/>
        <v>1</v>
      </c>
      <c r="AB36" s="9">
        <v>0</v>
      </c>
      <c r="AC36" s="6">
        <v>15</v>
      </c>
      <c r="AD36" s="6">
        <v>4</v>
      </c>
      <c r="AE36" s="2" t="s">
        <v>23</v>
      </c>
      <c r="AF36" s="17"/>
      <c r="AG36" s="7"/>
      <c r="AP36" s="7"/>
    </row>
    <row r="37" spans="1:42" x14ac:dyDescent="0.35">
      <c r="A37" s="29"/>
      <c r="B37" s="29"/>
      <c r="C37" s="29"/>
      <c r="D37" s="29"/>
      <c r="E37" s="29"/>
      <c r="F37" s="29"/>
      <c r="G37" s="29"/>
      <c r="H37" s="29"/>
      <c r="I37" s="7"/>
      <c r="O37" s="2">
        <v>1990</v>
      </c>
      <c r="P37" s="3">
        <v>41344</v>
      </c>
      <c r="Q37" s="3">
        <v>30150</v>
      </c>
      <c r="R37" s="5">
        <f t="shared" si="1"/>
        <v>-7.0106385371449087E-2</v>
      </c>
      <c r="S37" s="5">
        <f t="shared" si="1"/>
        <v>-5.9927662758792688E-2</v>
      </c>
      <c r="T37" s="9">
        <v>1990</v>
      </c>
      <c r="U37" s="9">
        <v>1</v>
      </c>
      <c r="V37" s="9">
        <v>0</v>
      </c>
      <c r="W37" s="6">
        <v>16</v>
      </c>
      <c r="X37" s="6">
        <v>4</v>
      </c>
      <c r="Y37" s="9">
        <v>0</v>
      </c>
      <c r="Z37" s="9">
        <v>0</v>
      </c>
      <c r="AA37" s="9">
        <f t="shared" si="0"/>
        <v>0</v>
      </c>
      <c r="AB37" s="9" t="s">
        <v>23</v>
      </c>
      <c r="AC37" s="6" t="s">
        <v>23</v>
      </c>
      <c r="AD37" s="6" t="s">
        <v>23</v>
      </c>
      <c r="AE37" s="2" t="s">
        <v>23</v>
      </c>
      <c r="AF37" s="17"/>
      <c r="AG37" s="7"/>
      <c r="AP37" s="7"/>
    </row>
    <row r="38" spans="1:42" x14ac:dyDescent="0.35">
      <c r="A38" s="29"/>
      <c r="B38" s="29"/>
      <c r="C38" s="29"/>
      <c r="D38" s="29"/>
      <c r="E38" s="29"/>
      <c r="F38" s="29"/>
      <c r="G38" s="29"/>
      <c r="H38" s="29"/>
      <c r="I38" s="7"/>
      <c r="O38" s="2">
        <v>1991</v>
      </c>
      <c r="P38" s="3">
        <v>40062</v>
      </c>
      <c r="Q38" s="3">
        <v>30536</v>
      </c>
      <c r="R38" s="5">
        <f t="shared" si="1"/>
        <v>-3.1008126934984559E-2</v>
      </c>
      <c r="S38" s="5">
        <f t="shared" si="1"/>
        <v>1.2802653399668351E-2</v>
      </c>
      <c r="T38" s="9">
        <v>1991</v>
      </c>
      <c r="U38" s="9">
        <v>1</v>
      </c>
      <c r="V38" s="9">
        <v>0</v>
      </c>
      <c r="W38" s="6">
        <v>8</v>
      </c>
      <c r="X38" s="6">
        <v>3</v>
      </c>
      <c r="Y38" s="9">
        <v>0</v>
      </c>
      <c r="Z38" s="9">
        <v>1</v>
      </c>
      <c r="AA38" s="9">
        <f t="shared" si="0"/>
        <v>1</v>
      </c>
      <c r="AB38" s="9">
        <v>0</v>
      </c>
      <c r="AC38" s="6">
        <v>8</v>
      </c>
      <c r="AD38" s="6">
        <v>3</v>
      </c>
      <c r="AE38" s="2" t="s">
        <v>23</v>
      </c>
      <c r="AF38" s="17"/>
      <c r="AG38" s="7"/>
      <c r="AP38" s="7"/>
    </row>
    <row r="39" spans="1:42" x14ac:dyDescent="0.35">
      <c r="A39" s="29"/>
      <c r="B39" s="29"/>
      <c r="C39" s="29"/>
      <c r="D39" s="29"/>
      <c r="E39" s="29"/>
      <c r="F39" s="29"/>
      <c r="G39" s="29"/>
      <c r="H39" s="29"/>
      <c r="I39" s="7"/>
      <c r="O39" s="2">
        <v>1992</v>
      </c>
      <c r="P39" s="3">
        <v>35743</v>
      </c>
      <c r="Q39" s="3">
        <v>26402</v>
      </c>
      <c r="R39" s="5">
        <f t="shared" si="1"/>
        <v>-0.10780789775847432</v>
      </c>
      <c r="S39" s="5">
        <f t="shared" si="1"/>
        <v>-0.1353811894157716</v>
      </c>
      <c r="T39" s="9">
        <v>1992</v>
      </c>
      <c r="U39" s="9">
        <v>1</v>
      </c>
      <c r="V39" s="9">
        <v>1</v>
      </c>
      <c r="W39" s="6">
        <v>17</v>
      </c>
      <c r="X39" s="6">
        <v>4</v>
      </c>
      <c r="Y39" s="9">
        <v>1</v>
      </c>
      <c r="Z39" s="9">
        <v>0</v>
      </c>
      <c r="AA39" s="9">
        <f t="shared" si="0"/>
        <v>1</v>
      </c>
      <c r="AB39" s="9">
        <v>1</v>
      </c>
      <c r="AC39" s="6">
        <v>17</v>
      </c>
      <c r="AD39" s="6">
        <v>4</v>
      </c>
      <c r="AE39" s="2" t="s">
        <v>23</v>
      </c>
      <c r="AF39" s="17"/>
      <c r="AG39" s="7"/>
      <c r="AP39" s="7"/>
    </row>
    <row r="40" spans="1:42" x14ac:dyDescent="0.35">
      <c r="A40" s="29"/>
      <c r="B40" s="29"/>
      <c r="C40" s="29"/>
      <c r="D40" s="29"/>
      <c r="E40" s="29"/>
      <c r="F40" s="29"/>
      <c r="G40" s="29"/>
      <c r="H40" s="29"/>
      <c r="I40" s="7"/>
      <c r="O40" s="2">
        <v>1993</v>
      </c>
      <c r="P40" s="3">
        <v>34830</v>
      </c>
      <c r="Q40" s="3">
        <v>25316</v>
      </c>
      <c r="R40" s="5">
        <f t="shared" si="1"/>
        <v>-2.5543463055703208E-2</v>
      </c>
      <c r="S40" s="5">
        <f t="shared" si="1"/>
        <v>-4.1133247481251467E-2</v>
      </c>
      <c r="T40" s="9">
        <v>1993</v>
      </c>
      <c r="U40" s="9">
        <v>5</v>
      </c>
      <c r="V40" s="9">
        <v>1</v>
      </c>
      <c r="W40" s="6">
        <f>AVERAGE(17,8,8,12,12)</f>
        <v>11.4</v>
      </c>
      <c r="X40" s="6">
        <f>AVERAGE(4,3,3,3,3)</f>
        <v>3.2</v>
      </c>
      <c r="Y40" s="9">
        <v>3</v>
      </c>
      <c r="Z40" s="9">
        <v>1</v>
      </c>
      <c r="AA40" s="9">
        <f t="shared" si="0"/>
        <v>4</v>
      </c>
      <c r="AB40" s="9">
        <v>1</v>
      </c>
      <c r="AC40" s="6">
        <f>AVERAGE(17,8,12,12)</f>
        <v>12.25</v>
      </c>
      <c r="AD40" s="6">
        <f>AVERAGE(4,3,3,3)</f>
        <v>3.25</v>
      </c>
      <c r="AE40" s="2" t="s">
        <v>23</v>
      </c>
      <c r="AF40" s="17"/>
      <c r="AG40" s="7"/>
      <c r="AP40" s="7"/>
    </row>
    <row r="41" spans="1:42" x14ac:dyDescent="0.35">
      <c r="A41" s="60"/>
      <c r="B41" s="60"/>
      <c r="C41" s="60"/>
      <c r="D41" s="60"/>
      <c r="E41" s="60"/>
      <c r="F41" s="60"/>
      <c r="G41" s="60"/>
      <c r="H41" s="60"/>
      <c r="I41" s="7"/>
      <c r="O41" s="2">
        <v>1994</v>
      </c>
      <c r="P41" s="3">
        <v>36796</v>
      </c>
      <c r="Q41" s="3">
        <v>27486</v>
      </c>
      <c r="R41" s="5">
        <f t="shared" si="1"/>
        <v>5.6445592879701412E-2</v>
      </c>
      <c r="S41" s="5">
        <f t="shared" si="1"/>
        <v>8.5716542897772197E-2</v>
      </c>
      <c r="T41" s="9">
        <v>1994</v>
      </c>
      <c r="U41" s="9">
        <v>2</v>
      </c>
      <c r="V41" s="9">
        <v>1</v>
      </c>
      <c r="W41" s="6">
        <f>AVERAGE(7,17)</f>
        <v>12</v>
      </c>
      <c r="X41" s="6">
        <f>AVERAGE(3,4)</f>
        <v>3.5</v>
      </c>
      <c r="Y41" s="9">
        <v>1</v>
      </c>
      <c r="Z41" s="9">
        <v>0</v>
      </c>
      <c r="AA41" s="9">
        <f t="shared" si="0"/>
        <v>1</v>
      </c>
      <c r="AB41" s="9">
        <v>1</v>
      </c>
      <c r="AC41" s="6">
        <v>17</v>
      </c>
      <c r="AD41" s="6">
        <v>4</v>
      </c>
      <c r="AE41" s="2" t="s">
        <v>23</v>
      </c>
      <c r="AF41" s="17"/>
      <c r="AG41" s="7"/>
      <c r="AP41" s="7"/>
    </row>
    <row r="42" spans="1:42" x14ac:dyDescent="0.35">
      <c r="A42" s="63" t="s">
        <v>277</v>
      </c>
      <c r="B42" s="63"/>
      <c r="C42" s="63"/>
      <c r="D42" s="63"/>
      <c r="E42" s="63"/>
      <c r="F42" s="63"/>
      <c r="G42" s="63"/>
      <c r="H42" s="63"/>
      <c r="I42" s="7"/>
      <c r="O42" s="2">
        <v>1995</v>
      </c>
      <c r="P42" s="3">
        <v>36016</v>
      </c>
      <c r="Q42" s="3">
        <v>26967</v>
      </c>
      <c r="R42" s="5">
        <f t="shared" si="1"/>
        <v>-2.1197956299597753E-2</v>
      </c>
      <c r="S42" s="5">
        <f t="shared" si="1"/>
        <v>-1.8882340100414785E-2</v>
      </c>
      <c r="T42" s="9">
        <v>1995</v>
      </c>
      <c r="U42" s="9">
        <v>1</v>
      </c>
      <c r="V42" s="9">
        <v>0</v>
      </c>
      <c r="W42" s="6">
        <v>16</v>
      </c>
      <c r="X42" s="6">
        <v>4</v>
      </c>
      <c r="Y42" s="9">
        <v>1</v>
      </c>
      <c r="Z42" s="9">
        <v>0</v>
      </c>
      <c r="AA42" s="9">
        <f t="shared" si="0"/>
        <v>1</v>
      </c>
      <c r="AB42" s="9">
        <v>0</v>
      </c>
      <c r="AC42" s="6">
        <v>16</v>
      </c>
      <c r="AD42" s="6">
        <v>4</v>
      </c>
      <c r="AE42" s="2" t="s">
        <v>23</v>
      </c>
      <c r="AF42" s="17"/>
      <c r="AG42" s="7"/>
      <c r="AP42" s="7"/>
    </row>
    <row r="43" spans="1:42" x14ac:dyDescent="0.35">
      <c r="A43" s="7"/>
      <c r="B43" s="7"/>
      <c r="C43" s="7"/>
      <c r="D43" s="7"/>
      <c r="E43" s="7"/>
      <c r="F43" s="7"/>
      <c r="G43" s="7"/>
      <c r="H43" s="7"/>
      <c r="I43" s="7"/>
      <c r="O43" s="2">
        <v>1996</v>
      </c>
      <c r="P43" s="3">
        <v>36539</v>
      </c>
      <c r="Q43" s="3">
        <v>27416</v>
      </c>
      <c r="R43" s="5">
        <f t="shared" si="1"/>
        <v>1.4521323856063972E-2</v>
      </c>
      <c r="S43" s="5">
        <f t="shared" si="1"/>
        <v>1.6649979604701937E-2</v>
      </c>
      <c r="T43" s="9">
        <v>1996</v>
      </c>
      <c r="U43" s="9">
        <v>1</v>
      </c>
      <c r="V43" s="9">
        <v>0</v>
      </c>
      <c r="W43" s="6">
        <v>7</v>
      </c>
      <c r="X43" s="6">
        <v>3</v>
      </c>
      <c r="Y43" s="9">
        <v>0</v>
      </c>
      <c r="Z43" s="9">
        <v>1</v>
      </c>
      <c r="AA43" s="9">
        <f t="shared" si="0"/>
        <v>1</v>
      </c>
      <c r="AB43" s="9">
        <v>0</v>
      </c>
      <c r="AC43" s="6">
        <v>7</v>
      </c>
      <c r="AD43" s="6">
        <v>3</v>
      </c>
      <c r="AE43" s="2" t="s">
        <v>23</v>
      </c>
      <c r="AF43" s="17"/>
      <c r="AG43" s="7"/>
      <c r="AP43" s="7"/>
    </row>
    <row r="44" spans="1:42" x14ac:dyDescent="0.35">
      <c r="A44" s="7"/>
      <c r="B44" s="7"/>
      <c r="C44" s="7"/>
      <c r="D44" s="7"/>
      <c r="E44" s="7"/>
      <c r="F44" s="7"/>
      <c r="G44" s="7"/>
      <c r="H44" s="7"/>
      <c r="I44" s="7"/>
      <c r="O44" s="2">
        <v>1997</v>
      </c>
      <c r="P44" s="3">
        <v>35663</v>
      </c>
      <c r="Q44" s="3">
        <v>26576</v>
      </c>
      <c r="R44" s="5">
        <f t="shared" si="1"/>
        <v>-2.397438353540049E-2</v>
      </c>
      <c r="S44" s="5">
        <f t="shared" si="1"/>
        <v>-3.0639042894660018E-2</v>
      </c>
      <c r="T44" s="9">
        <v>1997</v>
      </c>
      <c r="U44" s="9">
        <v>2</v>
      </c>
      <c r="V44" s="9">
        <v>0</v>
      </c>
      <c r="W44" s="6">
        <f>AVERAGE(17,7)</f>
        <v>12</v>
      </c>
      <c r="X44" s="6">
        <f>AVERAGE(3,4)</f>
        <v>3.5</v>
      </c>
      <c r="Y44" s="9">
        <v>2</v>
      </c>
      <c r="Z44" s="9">
        <v>0</v>
      </c>
      <c r="AA44" s="9">
        <f t="shared" si="0"/>
        <v>2</v>
      </c>
      <c r="AB44" s="9">
        <v>0</v>
      </c>
      <c r="AC44" s="6">
        <f>AVERAGE(17,7)</f>
        <v>12</v>
      </c>
      <c r="AD44" s="6">
        <f>AVERAGE(4,3)</f>
        <v>3.5</v>
      </c>
      <c r="AE44" s="2" t="s">
        <v>23</v>
      </c>
      <c r="AF44" s="17"/>
      <c r="AG44" s="7"/>
      <c r="AP44" s="7"/>
    </row>
    <row r="45" spans="1:42" x14ac:dyDescent="0.35">
      <c r="O45" s="2">
        <v>1998</v>
      </c>
      <c r="P45" s="3">
        <v>36890</v>
      </c>
      <c r="Q45" s="3">
        <v>27918</v>
      </c>
      <c r="R45" s="5">
        <f t="shared" si="1"/>
        <v>3.4405406163250385E-2</v>
      </c>
      <c r="S45" s="5">
        <f t="shared" si="1"/>
        <v>5.0496688741721751E-2</v>
      </c>
      <c r="T45" s="9">
        <v>1998</v>
      </c>
      <c r="U45" s="9">
        <v>0</v>
      </c>
      <c r="V45" s="9" t="s">
        <v>23</v>
      </c>
      <c r="W45" s="6" t="s">
        <v>23</v>
      </c>
      <c r="X45" s="6" t="s">
        <v>23</v>
      </c>
      <c r="Y45" s="9">
        <v>0</v>
      </c>
      <c r="Z45" s="9">
        <v>0</v>
      </c>
      <c r="AA45" s="9">
        <f t="shared" si="0"/>
        <v>0</v>
      </c>
      <c r="AB45" s="9" t="s">
        <v>23</v>
      </c>
      <c r="AC45" s="6" t="s">
        <v>23</v>
      </c>
      <c r="AD45" s="6" t="s">
        <v>23</v>
      </c>
      <c r="AE45" s="2">
        <v>1</v>
      </c>
      <c r="AF45" s="17"/>
      <c r="AG45" s="7"/>
      <c r="AH45" s="7"/>
      <c r="AI45" s="7"/>
      <c r="AJ45" s="7"/>
      <c r="AK45" s="7"/>
      <c r="AL45" s="7"/>
      <c r="AM45" s="7"/>
      <c r="AN45" s="7"/>
      <c r="AO45" s="7"/>
      <c r="AP45" s="7"/>
    </row>
    <row r="46" spans="1:42" x14ac:dyDescent="0.35">
      <c r="O46" s="2">
        <v>1999</v>
      </c>
      <c r="P46" s="3">
        <v>35913</v>
      </c>
      <c r="Q46" s="3">
        <v>26817</v>
      </c>
      <c r="R46" s="5">
        <f t="shared" si="1"/>
        <v>-2.648414204391436E-2</v>
      </c>
      <c r="S46" s="5">
        <f t="shared" si="1"/>
        <v>-3.9436922415645781E-2</v>
      </c>
      <c r="T46" s="9">
        <v>1999</v>
      </c>
      <c r="U46" s="9">
        <v>4</v>
      </c>
      <c r="V46" s="9">
        <v>0</v>
      </c>
      <c r="W46" s="6">
        <f>AVERAGE(7,15,12,8)</f>
        <v>10.5</v>
      </c>
      <c r="X46" s="6">
        <f>AVERAGE(3,4,3,3,)</f>
        <v>2.6</v>
      </c>
      <c r="Y46" s="9">
        <v>1</v>
      </c>
      <c r="Z46" s="9">
        <v>0</v>
      </c>
      <c r="AA46" s="9">
        <f t="shared" si="0"/>
        <v>1</v>
      </c>
      <c r="AB46" s="9">
        <v>0</v>
      </c>
      <c r="AC46" s="6">
        <v>12</v>
      </c>
      <c r="AD46" s="6">
        <v>3</v>
      </c>
      <c r="AE46" s="2">
        <v>2</v>
      </c>
      <c r="AF46" s="17"/>
    </row>
    <row r="47" spans="1:42" x14ac:dyDescent="0.35">
      <c r="O47" s="2">
        <v>2000</v>
      </c>
      <c r="P47" s="3">
        <v>36565</v>
      </c>
      <c r="Q47" s="3">
        <v>27481</v>
      </c>
      <c r="R47" s="5">
        <f t="shared" si="1"/>
        <v>1.8154985659788903E-2</v>
      </c>
      <c r="S47" s="5">
        <f t="shared" si="1"/>
        <v>2.4760413170749951E-2</v>
      </c>
      <c r="T47" s="9">
        <v>2000</v>
      </c>
      <c r="U47" s="9">
        <v>2</v>
      </c>
      <c r="V47" s="9">
        <v>0</v>
      </c>
      <c r="W47" s="6">
        <f>AVERAGE(1,1)</f>
        <v>1</v>
      </c>
      <c r="X47" s="6">
        <f>AVERAGE(2,2)</f>
        <v>2</v>
      </c>
      <c r="Y47" s="9">
        <v>2</v>
      </c>
      <c r="Z47" s="9">
        <v>0</v>
      </c>
      <c r="AA47" s="9">
        <f t="shared" si="0"/>
        <v>2</v>
      </c>
      <c r="AB47" s="9">
        <v>0</v>
      </c>
      <c r="AC47" s="6">
        <f>AVERAGE(1,1)</f>
        <v>1</v>
      </c>
      <c r="AD47" s="6">
        <f>AVERAGE(2,2)</f>
        <v>2</v>
      </c>
      <c r="AE47" s="2">
        <v>1</v>
      </c>
      <c r="AF47" s="17"/>
    </row>
    <row r="48" spans="1:42" x14ac:dyDescent="0.35">
      <c r="O48" s="2">
        <v>2001</v>
      </c>
      <c r="P48" s="3">
        <v>37605</v>
      </c>
      <c r="Q48" s="3">
        <v>28654</v>
      </c>
      <c r="R48" s="5">
        <f t="shared" si="1"/>
        <v>2.8442499658142939E-2</v>
      </c>
      <c r="S48" s="5">
        <f t="shared" si="1"/>
        <v>4.2684036243222589E-2</v>
      </c>
      <c r="T48" s="9">
        <v>2001</v>
      </c>
      <c r="U48" s="9">
        <v>2</v>
      </c>
      <c r="V48" s="9">
        <v>2</v>
      </c>
      <c r="W48" s="6">
        <f>AVERAGE(17,17)</f>
        <v>17</v>
      </c>
      <c r="X48" s="6">
        <f>AVERAGE(4,4)</f>
        <v>4</v>
      </c>
      <c r="Y48" s="9">
        <v>1</v>
      </c>
      <c r="Z48" s="9">
        <v>0</v>
      </c>
      <c r="AA48" s="9">
        <f t="shared" si="0"/>
        <v>1</v>
      </c>
      <c r="AB48" s="9">
        <v>1</v>
      </c>
      <c r="AC48" s="6">
        <v>17</v>
      </c>
      <c r="AD48" s="6">
        <v>4</v>
      </c>
      <c r="AE48" s="2">
        <v>1</v>
      </c>
      <c r="AF48" s="17"/>
    </row>
    <row r="49" spans="1:32" x14ac:dyDescent="0.35">
      <c r="O49" s="2">
        <v>2002</v>
      </c>
      <c r="P49" s="3">
        <v>37743</v>
      </c>
      <c r="Q49" s="3">
        <v>28527</v>
      </c>
      <c r="R49" s="5">
        <f t="shared" si="1"/>
        <v>3.669724770642091E-3</v>
      </c>
      <c r="S49" s="5">
        <f t="shared" si="1"/>
        <v>-4.432190968102212E-3</v>
      </c>
      <c r="T49" s="9">
        <v>2002</v>
      </c>
      <c r="U49" s="9">
        <v>4</v>
      </c>
      <c r="V49" s="9">
        <v>0</v>
      </c>
      <c r="W49" s="6">
        <f>AVERAGE(12,7,15,15)</f>
        <v>12.25</v>
      </c>
      <c r="X49" s="6">
        <f>AVERAGE(3,3,4,4)</f>
        <v>3.5</v>
      </c>
      <c r="Y49" s="9">
        <v>0</v>
      </c>
      <c r="Z49" s="9">
        <v>0</v>
      </c>
      <c r="AA49" s="9">
        <f t="shared" si="0"/>
        <v>0</v>
      </c>
      <c r="AB49" s="9" t="s">
        <v>23</v>
      </c>
      <c r="AC49" s="6" t="s">
        <v>23</v>
      </c>
      <c r="AD49" s="6" t="s">
        <v>23</v>
      </c>
      <c r="AE49" s="2">
        <v>3</v>
      </c>
      <c r="AF49" s="17"/>
    </row>
    <row r="50" spans="1:32" x14ac:dyDescent="0.35">
      <c r="O50" s="2">
        <v>2003</v>
      </c>
      <c r="P50" s="3">
        <v>41145</v>
      </c>
      <c r="Q50" s="3">
        <v>31046</v>
      </c>
      <c r="R50" s="5">
        <f t="shared" si="1"/>
        <v>9.0135919243303331E-2</v>
      </c>
      <c r="S50" s="5">
        <f t="shared" si="1"/>
        <v>8.8302310092193359E-2</v>
      </c>
      <c r="T50" s="9">
        <v>2003</v>
      </c>
      <c r="U50" s="9">
        <v>4</v>
      </c>
      <c r="V50" s="9">
        <v>0</v>
      </c>
      <c r="W50" s="6">
        <f>AVERAGE(7,15,15,11)</f>
        <v>12</v>
      </c>
      <c r="X50" s="6">
        <f>AVERAGE(3,4,4,3)</f>
        <v>3.5</v>
      </c>
      <c r="Y50" s="9">
        <v>0</v>
      </c>
      <c r="Z50" s="9">
        <v>0</v>
      </c>
      <c r="AA50" s="9">
        <f t="shared" si="0"/>
        <v>0</v>
      </c>
      <c r="AB50" s="9" t="s">
        <v>23</v>
      </c>
      <c r="AC50" s="6" t="s">
        <v>23</v>
      </c>
      <c r="AD50" s="6" t="s">
        <v>23</v>
      </c>
      <c r="AE50" s="2">
        <v>5</v>
      </c>
      <c r="AF50" s="17"/>
    </row>
    <row r="51" spans="1:32" x14ac:dyDescent="0.35">
      <c r="O51" s="2">
        <v>2004</v>
      </c>
      <c r="P51" s="3">
        <v>40840</v>
      </c>
      <c r="Q51" s="3">
        <v>31067</v>
      </c>
      <c r="R51" s="5">
        <f t="shared" si="1"/>
        <v>-7.4128083606757045E-3</v>
      </c>
      <c r="S51" s="5">
        <f t="shared" si="1"/>
        <v>6.7641564130638265E-4</v>
      </c>
      <c r="T51" s="9">
        <v>2004</v>
      </c>
      <c r="U51" s="9">
        <v>2</v>
      </c>
      <c r="V51" s="9">
        <v>0</v>
      </c>
      <c r="W51" s="6">
        <f>AVERAGE(7,11)</f>
        <v>9</v>
      </c>
      <c r="X51" s="6">
        <f>AVERAGE(3,3)</f>
        <v>3</v>
      </c>
      <c r="Y51" s="9">
        <v>0</v>
      </c>
      <c r="Z51" s="9">
        <v>0</v>
      </c>
      <c r="AA51" s="9">
        <f t="shared" si="0"/>
        <v>0</v>
      </c>
      <c r="AB51" s="9" t="s">
        <v>23</v>
      </c>
      <c r="AC51" s="6" t="s">
        <v>23</v>
      </c>
      <c r="AD51" s="6" t="s">
        <v>23</v>
      </c>
      <c r="AE51" s="2">
        <v>2</v>
      </c>
      <c r="AF51" s="17"/>
    </row>
    <row r="52" spans="1:32" x14ac:dyDescent="0.35">
      <c r="O52" s="2">
        <v>2005</v>
      </c>
      <c r="P52" s="3">
        <v>30983</v>
      </c>
      <c r="Q52" s="3">
        <v>21372</v>
      </c>
      <c r="R52" s="5">
        <f t="shared" si="1"/>
        <v>-0.24135651322233109</v>
      </c>
      <c r="S52" s="5">
        <f t="shared" si="1"/>
        <v>-0.31206746708726296</v>
      </c>
      <c r="T52" s="9">
        <v>2005</v>
      </c>
      <c r="U52" s="9">
        <v>2</v>
      </c>
      <c r="V52" s="9">
        <v>0</v>
      </c>
      <c r="W52" s="6">
        <f>AVERAGE(7,17)</f>
        <v>12</v>
      </c>
      <c r="X52" s="6">
        <f>AVERAGE(3,4)</f>
        <v>3.5</v>
      </c>
      <c r="Y52" s="9">
        <v>1</v>
      </c>
      <c r="Z52" s="9">
        <v>0</v>
      </c>
      <c r="AA52" s="9">
        <f t="shared" si="0"/>
        <v>1</v>
      </c>
      <c r="AB52" s="9">
        <v>0</v>
      </c>
      <c r="AC52" s="6">
        <v>17</v>
      </c>
      <c r="AD52" s="6">
        <v>4</v>
      </c>
      <c r="AE52" s="2">
        <v>3</v>
      </c>
      <c r="AF52" s="17"/>
    </row>
    <row r="53" spans="1:32" x14ac:dyDescent="0.35">
      <c r="O53" s="2">
        <v>2006</v>
      </c>
      <c r="P53" s="3">
        <v>29086</v>
      </c>
      <c r="Q53" s="3">
        <v>19755</v>
      </c>
      <c r="R53" s="5">
        <f t="shared" si="1"/>
        <v>-6.1227124552173717E-2</v>
      </c>
      <c r="S53" s="5">
        <f t="shared" si="1"/>
        <v>-7.5659741718135831E-2</v>
      </c>
      <c r="T53" s="9">
        <v>2006</v>
      </c>
      <c r="U53" s="9">
        <v>1</v>
      </c>
      <c r="V53" s="9">
        <v>0</v>
      </c>
      <c r="W53" s="6">
        <v>7</v>
      </c>
      <c r="X53" s="6">
        <v>3</v>
      </c>
      <c r="Y53" s="9">
        <v>0</v>
      </c>
      <c r="Z53" s="9">
        <v>1</v>
      </c>
      <c r="AA53" s="9">
        <f t="shared" si="0"/>
        <v>1</v>
      </c>
      <c r="AB53" s="9">
        <v>0</v>
      </c>
      <c r="AC53" s="6">
        <v>7</v>
      </c>
      <c r="AD53" s="6">
        <v>3</v>
      </c>
      <c r="AE53" s="2">
        <v>3</v>
      </c>
      <c r="AF53" s="17"/>
    </row>
    <row r="54" spans="1:32" x14ac:dyDescent="0.35">
      <c r="O54" s="2">
        <v>2007</v>
      </c>
      <c r="P54" s="3">
        <v>27014</v>
      </c>
      <c r="Q54" s="3">
        <v>18344</v>
      </c>
      <c r="R54" s="5">
        <f t="shared" si="1"/>
        <v>-7.1237021247335441E-2</v>
      </c>
      <c r="S54" s="5">
        <f t="shared" si="1"/>
        <v>-7.1424955707415805E-2</v>
      </c>
      <c r="T54" s="9">
        <v>2007</v>
      </c>
      <c r="U54" s="9">
        <v>1</v>
      </c>
      <c r="V54" s="9">
        <v>0</v>
      </c>
      <c r="W54" s="6">
        <v>1</v>
      </c>
      <c r="X54" s="6">
        <v>2</v>
      </c>
      <c r="Y54" s="9">
        <v>1</v>
      </c>
      <c r="Z54" s="9">
        <v>0</v>
      </c>
      <c r="AA54" s="9">
        <f t="shared" si="0"/>
        <v>1</v>
      </c>
      <c r="AB54" s="9">
        <v>0</v>
      </c>
      <c r="AC54" s="6">
        <v>1</v>
      </c>
      <c r="AD54" s="6">
        <v>2</v>
      </c>
      <c r="AE54" s="2">
        <v>3</v>
      </c>
      <c r="AF54" s="17"/>
    </row>
    <row r="55" spans="1:32" x14ac:dyDescent="0.35">
      <c r="O55" s="2">
        <v>2008</v>
      </c>
      <c r="P55" s="3">
        <v>25572</v>
      </c>
      <c r="Q55" s="3">
        <v>17551</v>
      </c>
      <c r="R55" s="5">
        <f t="shared" si="1"/>
        <v>-5.3379729029392142E-2</v>
      </c>
      <c r="S55" s="5">
        <f t="shared" si="1"/>
        <v>-4.3229393807239447E-2</v>
      </c>
      <c r="T55" s="9">
        <v>2008</v>
      </c>
      <c r="U55" s="9">
        <v>1</v>
      </c>
      <c r="V55" s="9">
        <v>0</v>
      </c>
      <c r="W55" s="6">
        <v>7</v>
      </c>
      <c r="X55" s="6">
        <v>3</v>
      </c>
      <c r="Y55" s="9">
        <v>1</v>
      </c>
      <c r="Z55" s="9">
        <v>0</v>
      </c>
      <c r="AA55" s="9">
        <f t="shared" si="0"/>
        <v>1</v>
      </c>
      <c r="AB55" s="9">
        <v>0</v>
      </c>
      <c r="AC55" s="6">
        <v>7</v>
      </c>
      <c r="AD55" s="6">
        <v>3</v>
      </c>
      <c r="AE55" s="2">
        <v>1</v>
      </c>
      <c r="AF55" s="17"/>
    </row>
    <row r="56" spans="1:32" x14ac:dyDescent="0.35">
      <c r="O56" s="2">
        <v>2009</v>
      </c>
      <c r="P56" s="2">
        <v>26605</v>
      </c>
      <c r="Q56" s="2">
        <v>18317</v>
      </c>
      <c r="R56" s="5">
        <f t="shared" ref="R56:R57" si="2">(P56/P55)-1</f>
        <v>4.0395745346472722E-2</v>
      </c>
      <c r="S56" s="5">
        <f t="shared" ref="S56:S57" si="3">(Q56/Q55)-1</f>
        <v>4.3644236795624236E-2</v>
      </c>
      <c r="T56" s="9">
        <v>2009</v>
      </c>
      <c r="U56" s="9">
        <v>1</v>
      </c>
      <c r="V56" s="9">
        <v>2</v>
      </c>
      <c r="W56" s="6">
        <v>17</v>
      </c>
      <c r="X56" s="6">
        <v>4</v>
      </c>
      <c r="Y56" s="9">
        <v>0</v>
      </c>
      <c r="Z56" s="9">
        <v>1</v>
      </c>
      <c r="AA56" s="9">
        <f t="shared" si="0"/>
        <v>1</v>
      </c>
      <c r="AB56" s="9">
        <v>1</v>
      </c>
      <c r="AC56" s="6">
        <v>17</v>
      </c>
      <c r="AD56" s="6">
        <v>4</v>
      </c>
      <c r="AE56" s="2">
        <v>8</v>
      </c>
      <c r="AF56" s="17"/>
    </row>
    <row r="57" spans="1:32" x14ac:dyDescent="0.35">
      <c r="O57" s="2">
        <v>2010</v>
      </c>
      <c r="P57" s="2">
        <v>27869</v>
      </c>
      <c r="Q57" s="2">
        <v>19375</v>
      </c>
      <c r="R57" s="5">
        <f t="shared" si="2"/>
        <v>4.7509866566434855E-2</v>
      </c>
      <c r="S57" s="5">
        <f t="shared" si="3"/>
        <v>5.7760550308456615E-2</v>
      </c>
      <c r="T57" s="9">
        <v>2010</v>
      </c>
      <c r="U57" s="9">
        <v>2</v>
      </c>
      <c r="V57" s="9">
        <v>0</v>
      </c>
      <c r="W57" s="6">
        <f>AVERAGE(16,7)</f>
        <v>11.5</v>
      </c>
      <c r="X57" s="6">
        <f>AVERAGE(4,3)</f>
        <v>3.5</v>
      </c>
      <c r="Y57" s="9">
        <v>1</v>
      </c>
      <c r="Z57" s="9">
        <v>1</v>
      </c>
      <c r="AA57" s="9">
        <f t="shared" si="0"/>
        <v>2</v>
      </c>
      <c r="AB57" s="9">
        <v>0</v>
      </c>
      <c r="AC57" s="6">
        <f>AVERAGE(16,7)</f>
        <v>11.5</v>
      </c>
      <c r="AD57" s="6">
        <f>AVERAGE(4,3)</f>
        <v>3.5</v>
      </c>
      <c r="AE57" s="2">
        <v>3</v>
      </c>
      <c r="AF57" s="17"/>
    </row>
    <row r="58" spans="1:32" x14ac:dyDescent="0.35">
      <c r="O58" s="2"/>
      <c r="P58" s="2"/>
      <c r="Q58" s="2"/>
      <c r="R58" s="2"/>
      <c r="S58" s="2"/>
      <c r="T58" s="9" t="s">
        <v>70</v>
      </c>
      <c r="U58" s="9">
        <f>SUM(U2:U57)</f>
        <v>93</v>
      </c>
      <c r="V58" s="9"/>
      <c r="W58" s="6"/>
      <c r="X58" s="6"/>
      <c r="Y58" s="9"/>
      <c r="Z58" s="9"/>
      <c r="AA58" s="9">
        <f>SUM(AA2:AA57)</f>
        <v>59</v>
      </c>
      <c r="AB58" s="9"/>
      <c r="AC58" s="6"/>
      <c r="AD58" s="6"/>
      <c r="AE58" s="2"/>
      <c r="AF58" s="17"/>
    </row>
    <row r="59" spans="1:32" x14ac:dyDescent="0.35">
      <c r="A59" s="2" t="s">
        <v>280</v>
      </c>
      <c r="B59" s="2"/>
      <c r="C59" s="2"/>
      <c r="D59" s="2"/>
      <c r="E59" s="2"/>
      <c r="F59" s="2"/>
      <c r="G59" s="2"/>
      <c r="H59" s="2"/>
      <c r="I59" s="2"/>
      <c r="J59" s="2"/>
      <c r="K59" s="2"/>
      <c r="L59" s="2"/>
      <c r="M59" s="2"/>
      <c r="N59" s="2"/>
      <c r="AC59" s="2"/>
      <c r="AD59" s="2"/>
      <c r="AE59" s="2"/>
      <c r="AF59" s="17"/>
    </row>
    <row r="60" spans="1:32" x14ac:dyDescent="0.35">
      <c r="A60" s="2"/>
      <c r="B60" s="2"/>
      <c r="C60" s="2" t="s">
        <v>54</v>
      </c>
      <c r="D60" s="2" t="s">
        <v>55</v>
      </c>
      <c r="E60" s="2" t="s">
        <v>56</v>
      </c>
      <c r="F60" s="2"/>
      <c r="G60" s="2" t="s">
        <v>58</v>
      </c>
      <c r="H60" s="2" t="s">
        <v>59</v>
      </c>
      <c r="I60" s="2" t="s">
        <v>60</v>
      </c>
      <c r="J60" s="2" t="s">
        <v>61</v>
      </c>
      <c r="K60" s="2" t="s">
        <v>65</v>
      </c>
      <c r="L60" s="2" t="s">
        <v>66</v>
      </c>
      <c r="M60" s="2"/>
      <c r="N60" s="2"/>
      <c r="AC60" s="2"/>
      <c r="AD60" s="2"/>
      <c r="AE60" s="2"/>
      <c r="AF60" s="17"/>
    </row>
    <row r="61" spans="1:32" x14ac:dyDescent="0.35">
      <c r="A61" s="2" t="s">
        <v>48</v>
      </c>
      <c r="B61" s="2"/>
      <c r="C61" s="2">
        <f>U15</f>
        <v>1</v>
      </c>
      <c r="D61" s="2">
        <f>U19</f>
        <v>0</v>
      </c>
      <c r="E61" s="2"/>
      <c r="F61" s="2"/>
      <c r="G61" s="2">
        <f>Y15</f>
        <v>1</v>
      </c>
      <c r="H61" s="2">
        <f>Y19</f>
        <v>0</v>
      </c>
      <c r="I61" s="2">
        <f>Z15</f>
        <v>0</v>
      </c>
      <c r="J61" s="2">
        <f>Z19</f>
        <v>0</v>
      </c>
      <c r="K61" s="2">
        <f>AA15</f>
        <v>1</v>
      </c>
      <c r="L61" s="2">
        <f>AA19</f>
        <v>0</v>
      </c>
      <c r="M61" s="2"/>
      <c r="N61" s="2"/>
      <c r="AC61" s="2"/>
      <c r="AD61" s="2"/>
      <c r="AE61" s="2"/>
      <c r="AF61" s="17"/>
    </row>
    <row r="62" spans="1:32" x14ac:dyDescent="0.35">
      <c r="A62" s="2" t="s">
        <v>49</v>
      </c>
      <c r="B62" s="2"/>
      <c r="C62" s="2">
        <f>SUM(U13:U15)</f>
        <v>4</v>
      </c>
      <c r="D62" s="2">
        <f>SUM(U19:U21)</f>
        <v>1</v>
      </c>
      <c r="E62" s="2"/>
      <c r="F62" s="2"/>
      <c r="G62" s="2">
        <f>SUM(Y13:Y15)</f>
        <v>1</v>
      </c>
      <c r="H62" s="2">
        <f>SUM(Y19:Y21)</f>
        <v>1</v>
      </c>
      <c r="I62" s="2">
        <f>SUM(Z13:Z15)</f>
        <v>1</v>
      </c>
      <c r="J62" s="2">
        <f>SUM(Z19:Z21)</f>
        <v>0</v>
      </c>
      <c r="K62" s="2">
        <f>SUM(AA13:AA15)</f>
        <v>2</v>
      </c>
      <c r="L62" s="2">
        <f>SUM(AA19:AA21)</f>
        <v>1</v>
      </c>
      <c r="M62" s="2"/>
      <c r="N62" s="2"/>
      <c r="AC62" s="2"/>
      <c r="AD62" s="2"/>
      <c r="AE62" s="2"/>
      <c r="AF62" s="17"/>
    </row>
    <row r="63" spans="1:32" x14ac:dyDescent="0.35">
      <c r="A63" s="2" t="s">
        <v>50</v>
      </c>
      <c r="B63" s="2"/>
      <c r="C63" s="2">
        <f>SUM(U11:U15)</f>
        <v>8</v>
      </c>
      <c r="D63" s="2">
        <f>SUM(U19:U23)</f>
        <v>5</v>
      </c>
      <c r="E63" s="2">
        <f>_xlfn.T.TEST(U11:U15,U19:U23,2,3)</f>
        <v>0.40445802423189314</v>
      </c>
      <c r="F63" s="2"/>
      <c r="G63" s="2">
        <f>SUM(Y11:Y15)</f>
        <v>2</v>
      </c>
      <c r="H63" s="2">
        <f>SUM(Y19:Y23)</f>
        <v>2</v>
      </c>
      <c r="I63" s="2">
        <f>SUM(Z11:Z15)</f>
        <v>3</v>
      </c>
      <c r="J63" s="2">
        <f>SUM(Z19:Z23)</f>
        <v>1</v>
      </c>
      <c r="K63" s="2">
        <f>SUM(AA11:AA15)</f>
        <v>5</v>
      </c>
      <c r="L63" s="2">
        <f>SUM(AA19:AA23)</f>
        <v>3</v>
      </c>
      <c r="M63" s="2">
        <f>_xlfn.T.TEST(AA11:AA15,AA19:AA23,2,3)</f>
        <v>0.3483586267574697</v>
      </c>
      <c r="N63" s="2"/>
      <c r="AC63" s="2"/>
      <c r="AD63" s="2"/>
      <c r="AE63" s="2"/>
      <c r="AF63" s="17"/>
    </row>
    <row r="64" spans="1:32" x14ac:dyDescent="0.35">
      <c r="A64" s="2" t="s">
        <v>51</v>
      </c>
      <c r="B64" s="2"/>
      <c r="C64" s="2">
        <f>U50</f>
        <v>4</v>
      </c>
      <c r="D64" s="2">
        <f>U53</f>
        <v>1</v>
      </c>
      <c r="E64" s="2"/>
      <c r="F64" s="2"/>
      <c r="G64" s="2">
        <f>Y50</f>
        <v>0</v>
      </c>
      <c r="H64" s="2">
        <f>Y53</f>
        <v>0</v>
      </c>
      <c r="I64" s="2">
        <f>Z50</f>
        <v>0</v>
      </c>
      <c r="J64" s="2">
        <f>Z53</f>
        <v>1</v>
      </c>
      <c r="K64" s="2">
        <f>AA50</f>
        <v>0</v>
      </c>
      <c r="L64" s="2">
        <f>AA53</f>
        <v>1</v>
      </c>
      <c r="M64" s="2"/>
      <c r="N64" s="2"/>
      <c r="AC64" s="2"/>
      <c r="AD64" s="2"/>
      <c r="AE64" s="2"/>
      <c r="AF64" s="17"/>
    </row>
    <row r="65" spans="1:32" x14ac:dyDescent="0.35">
      <c r="A65" s="2" t="s">
        <v>52</v>
      </c>
      <c r="B65" s="2"/>
      <c r="C65" s="2">
        <f>SUM(U48:U50)</f>
        <v>10</v>
      </c>
      <c r="D65" s="2">
        <f>SUM(U53:U55)</f>
        <v>3</v>
      </c>
      <c r="E65" s="2"/>
      <c r="F65" s="2"/>
      <c r="G65" s="2">
        <f>SUM(Y48:Y50)</f>
        <v>1</v>
      </c>
      <c r="H65" s="2">
        <f>SUM(Y53:Y55)</f>
        <v>2</v>
      </c>
      <c r="I65" s="2">
        <f>SUM(Z48:Z50)</f>
        <v>0</v>
      </c>
      <c r="J65" s="2">
        <f>SUM(Z53:Z55)</f>
        <v>1</v>
      </c>
      <c r="K65" s="2">
        <f>SUM(AA48:AA50)</f>
        <v>1</v>
      </c>
      <c r="L65" s="2">
        <f>SUM(AA53:AA55)</f>
        <v>3</v>
      </c>
      <c r="M65" s="2"/>
      <c r="N65" s="2"/>
      <c r="AC65" s="2"/>
      <c r="AD65" s="2"/>
      <c r="AE65" s="2"/>
      <c r="AF65" s="17"/>
    </row>
    <row r="66" spans="1:32" x14ac:dyDescent="0.35">
      <c r="A66" s="2" t="s">
        <v>53</v>
      </c>
      <c r="B66" s="2"/>
      <c r="C66" s="2">
        <f>SUM(U46:U50)</f>
        <v>16</v>
      </c>
      <c r="D66" s="2">
        <f>SUM(U53:U57)</f>
        <v>6</v>
      </c>
      <c r="E66" s="2">
        <f>_xlfn.T.TEST(U46:U50,U53:U57,2,3)</f>
        <v>1.1582342043729621E-2</v>
      </c>
      <c r="F66" s="2"/>
      <c r="G66" s="2">
        <f>SUM(Y46:Y50)</f>
        <v>4</v>
      </c>
      <c r="H66" s="2">
        <f>SUM(Y53:Y57)</f>
        <v>3</v>
      </c>
      <c r="I66" s="2">
        <f>SUM(Z46:Z50)</f>
        <v>0</v>
      </c>
      <c r="J66" s="2">
        <f>SUM(Z53:Z57)</f>
        <v>3</v>
      </c>
      <c r="K66" s="2">
        <f>SUM(AA46:AA50)</f>
        <v>4</v>
      </c>
      <c r="L66" s="2">
        <f>SUM(AA53:AA57)</f>
        <v>6</v>
      </c>
      <c r="M66" s="2">
        <f>_xlfn.T.TEST(AA46:AA50,AA53:AA57,2,3)</f>
        <v>0.3815297278226526</v>
      </c>
      <c r="N66" s="2"/>
      <c r="AC66" s="2"/>
      <c r="AD66" s="2"/>
      <c r="AE66" s="2"/>
      <c r="AF66" s="17"/>
    </row>
    <row r="67" spans="1:32" x14ac:dyDescent="0.35">
      <c r="A67" s="2"/>
      <c r="B67" s="2"/>
      <c r="C67" s="2"/>
      <c r="D67" s="2"/>
      <c r="E67" s="2"/>
      <c r="F67" s="2"/>
      <c r="G67" s="2"/>
      <c r="H67" s="2"/>
      <c r="I67" s="2"/>
      <c r="J67" s="2"/>
      <c r="K67" s="2"/>
      <c r="L67" s="2"/>
      <c r="M67" s="2"/>
      <c r="N67" s="2"/>
      <c r="AC67" s="2"/>
      <c r="AD67" s="2"/>
      <c r="AE67" s="2"/>
      <c r="AF67" s="17"/>
    </row>
    <row r="68" spans="1:32" x14ac:dyDescent="0.35">
      <c r="A68" s="2"/>
      <c r="B68" s="2"/>
      <c r="C68" s="2"/>
      <c r="D68" s="2"/>
      <c r="E68" s="2"/>
      <c r="F68" s="2"/>
      <c r="G68" s="2"/>
      <c r="H68" s="2"/>
      <c r="I68" s="2"/>
      <c r="J68" s="2"/>
      <c r="K68" s="2"/>
      <c r="L68" s="2"/>
      <c r="M68" s="2"/>
      <c r="N68" s="2"/>
      <c r="AC68" s="2"/>
      <c r="AD68" s="2"/>
      <c r="AE68" s="2"/>
      <c r="AF68" s="17"/>
    </row>
    <row r="69" spans="1:32" x14ac:dyDescent="0.35">
      <c r="AF69" s="7"/>
    </row>
    <row r="70" spans="1:32" x14ac:dyDescent="0.35">
      <c r="A70" t="s">
        <v>71</v>
      </c>
      <c r="B70" t="s">
        <v>73</v>
      </c>
      <c r="C70" t="s">
        <v>74</v>
      </c>
      <c r="AF70" s="7"/>
    </row>
    <row r="71" spans="1:32" x14ac:dyDescent="0.35">
      <c r="A71" t="s">
        <v>43</v>
      </c>
      <c r="B71" s="18">
        <f>AVERAGE(U8:U17)</f>
        <v>1.8</v>
      </c>
      <c r="C71" s="18">
        <f>AVERAGE(AA8:AA17)</f>
        <v>1.5</v>
      </c>
      <c r="AF71" s="7"/>
    </row>
    <row r="72" spans="1:32" x14ac:dyDescent="0.35">
      <c r="A72" t="s">
        <v>44</v>
      </c>
      <c r="B72" s="18">
        <f>AVERAGE(U18:U27)</f>
        <v>0.9</v>
      </c>
      <c r="C72" s="18">
        <f>AVERAGE(AA18:AA27)</f>
        <v>0.6</v>
      </c>
      <c r="AF72" s="7"/>
    </row>
    <row r="73" spans="1:32" x14ac:dyDescent="0.35">
      <c r="A73" t="s">
        <v>45</v>
      </c>
      <c r="B73" s="18">
        <f>AVERAGE(U28:U37)</f>
        <v>1.7</v>
      </c>
      <c r="C73" s="18">
        <f>AVERAGE(AA28:AA37)</f>
        <v>0.8</v>
      </c>
      <c r="AF73" s="7"/>
    </row>
    <row r="74" spans="1:32" x14ac:dyDescent="0.35">
      <c r="A74" t="s">
        <v>46</v>
      </c>
      <c r="B74" s="18">
        <f>AVERAGE(U38:U47)</f>
        <v>1.9</v>
      </c>
      <c r="C74" s="18">
        <f>AVERAGE(AA38:AA47)</f>
        <v>1.4</v>
      </c>
      <c r="AF74" s="7"/>
    </row>
    <row r="75" spans="1:32" x14ac:dyDescent="0.35">
      <c r="A75" t="s">
        <v>72</v>
      </c>
      <c r="B75" s="18">
        <f>AVERAGE(U48:U57)</f>
        <v>2</v>
      </c>
      <c r="C75" s="18">
        <f>AVERAGE(AA48:AA57)</f>
        <v>0.8</v>
      </c>
      <c r="AF75" s="7"/>
    </row>
    <row r="76" spans="1:32" x14ac:dyDescent="0.35">
      <c r="AF76" s="7"/>
    </row>
    <row r="77" spans="1:32" x14ac:dyDescent="0.35">
      <c r="A77" t="s">
        <v>75</v>
      </c>
      <c r="AF77" s="7"/>
    </row>
    <row r="78" spans="1:32" x14ac:dyDescent="0.35">
      <c r="C78" s="2" t="s">
        <v>54</v>
      </c>
      <c r="D78" s="2" t="s">
        <v>55</v>
      </c>
      <c r="AF78" s="7"/>
    </row>
    <row r="79" spans="1:32" x14ac:dyDescent="0.35">
      <c r="A79" s="2" t="s">
        <v>48</v>
      </c>
      <c r="B79" s="2"/>
      <c r="C79" s="6">
        <f>AVERAGE(X15)</f>
        <v>4</v>
      </c>
      <c r="D79" s="6" t="str">
        <f>X19</f>
        <v>.</v>
      </c>
      <c r="AF79" s="7"/>
    </row>
    <row r="80" spans="1:32" x14ac:dyDescent="0.35">
      <c r="A80" s="2" t="s">
        <v>49</v>
      </c>
      <c r="B80" s="2"/>
      <c r="C80" s="6">
        <f>AVERAGE(X13:X15)</f>
        <v>4</v>
      </c>
      <c r="D80" s="6">
        <f>AVERAGE(X19:X21)</f>
        <v>4</v>
      </c>
      <c r="AF80" s="7"/>
    </row>
    <row r="81" spans="1:32" x14ac:dyDescent="0.35">
      <c r="A81" s="2" t="s">
        <v>50</v>
      </c>
      <c r="B81" s="2"/>
      <c r="C81" s="6">
        <f>AVERAGE(X11:X15)</f>
        <v>4</v>
      </c>
      <c r="D81" s="6">
        <f>AVERAGE(X19:X23)</f>
        <v>3.8888888888888888</v>
      </c>
      <c r="AF81" s="7"/>
    </row>
    <row r="82" spans="1:32" x14ac:dyDescent="0.35">
      <c r="A82" s="2" t="s">
        <v>51</v>
      </c>
      <c r="B82" s="2"/>
      <c r="C82" s="22">
        <f>X50</f>
        <v>3.5</v>
      </c>
      <c r="D82" s="6">
        <f>X53</f>
        <v>3</v>
      </c>
      <c r="AF82" s="7"/>
    </row>
    <row r="83" spans="1:32" x14ac:dyDescent="0.35">
      <c r="A83" s="2" t="s">
        <v>52</v>
      </c>
      <c r="B83" s="2"/>
      <c r="C83" s="22">
        <f>AVERAGE(X48:X50)</f>
        <v>3.6666666666666665</v>
      </c>
      <c r="D83" s="6">
        <f>AVERAGE(X53:X55)</f>
        <v>2.6666666666666665</v>
      </c>
      <c r="AF83" s="7"/>
    </row>
    <row r="84" spans="1:32" x14ac:dyDescent="0.35">
      <c r="A84" s="2" t="s">
        <v>53</v>
      </c>
      <c r="B84" s="2"/>
      <c r="C84" s="22">
        <f>AVERAGE(X46:X50)</f>
        <v>3.12</v>
      </c>
      <c r="D84" s="6">
        <f>AVERAGE(X53:X57)</f>
        <v>3.1</v>
      </c>
      <c r="AF84" s="7"/>
    </row>
    <row r="85" spans="1:32" x14ac:dyDescent="0.35">
      <c r="AF85" s="7"/>
    </row>
    <row r="86" spans="1:32" x14ac:dyDescent="0.35">
      <c r="A86" s="2" t="s">
        <v>279</v>
      </c>
      <c r="AF86" s="7"/>
    </row>
    <row r="87" spans="1:32" x14ac:dyDescent="0.35">
      <c r="A87" s="2" t="s">
        <v>76</v>
      </c>
      <c r="C87" s="2" t="s">
        <v>54</v>
      </c>
      <c r="D87" s="2" t="s">
        <v>55</v>
      </c>
      <c r="AF87" s="7"/>
    </row>
    <row r="88" spans="1:32" x14ac:dyDescent="0.35">
      <c r="A88" s="2" t="s">
        <v>51</v>
      </c>
      <c r="B88" s="2"/>
      <c r="C88">
        <f>AE50</f>
        <v>5</v>
      </c>
      <c r="D88">
        <f>AE53</f>
        <v>3</v>
      </c>
      <c r="AF88" s="7"/>
    </row>
    <row r="89" spans="1:32" x14ac:dyDescent="0.35">
      <c r="A89" s="2" t="s">
        <v>52</v>
      </c>
      <c r="B89" s="2"/>
      <c r="C89">
        <f>SUM(AE48:AE50)</f>
        <v>9</v>
      </c>
      <c r="D89">
        <f>SUM(AE53:AE55)</f>
        <v>7</v>
      </c>
      <c r="AF89" s="7"/>
    </row>
    <row r="90" spans="1:32" x14ac:dyDescent="0.35">
      <c r="A90" s="2" t="s">
        <v>53</v>
      </c>
      <c r="B90" s="2"/>
      <c r="C90">
        <f>SUM(AE46:AE50)</f>
        <v>12</v>
      </c>
      <c r="D90">
        <f>SUM(AE53:AE57)</f>
        <v>18</v>
      </c>
      <c r="AF90" s="7"/>
    </row>
    <row r="91" spans="1:32" x14ac:dyDescent="0.35">
      <c r="AF91" s="7"/>
    </row>
    <row r="92" spans="1:32" x14ac:dyDescent="0.35">
      <c r="AF92" s="7"/>
    </row>
    <row r="93" spans="1:32" x14ac:dyDescent="0.35">
      <c r="AF93" s="7"/>
    </row>
    <row r="94" spans="1:32" x14ac:dyDescent="0.35">
      <c r="AF94" s="7"/>
    </row>
    <row r="95" spans="1:32" x14ac:dyDescent="0.35">
      <c r="AF95" s="7"/>
    </row>
    <row r="96" spans="1:32" x14ac:dyDescent="0.35">
      <c r="AF96" s="7"/>
    </row>
    <row r="97" spans="14:41" x14ac:dyDescent="0.35">
      <c r="AF97" s="7"/>
    </row>
    <row r="98" spans="14:41" x14ac:dyDescent="0.35">
      <c r="AF98" s="7"/>
    </row>
    <row r="99" spans="14:41" x14ac:dyDescent="0.35">
      <c r="AF99" s="7"/>
    </row>
    <row r="100" spans="14:41" x14ac:dyDescent="0.35">
      <c r="N100" s="7"/>
      <c r="AF100" s="7"/>
    </row>
    <row r="101" spans="14:41" x14ac:dyDescent="0.35">
      <c r="N101" s="7"/>
      <c r="AF101" s="7"/>
    </row>
    <row r="102" spans="14:41" x14ac:dyDescent="0.35">
      <c r="N102" s="7"/>
      <c r="AF102" s="7"/>
    </row>
    <row r="103" spans="14:41" x14ac:dyDescent="0.35">
      <c r="N103" s="7"/>
      <c r="AF103" s="7"/>
    </row>
    <row r="104" spans="14:41" x14ac:dyDescent="0.35">
      <c r="N104" s="7"/>
      <c r="AF104" s="7"/>
    </row>
    <row r="105" spans="14:41" x14ac:dyDescent="0.35">
      <c r="N105" s="7"/>
      <c r="AF105" s="7"/>
    </row>
    <row r="106" spans="14:41" x14ac:dyDescent="0.35">
      <c r="N106" s="7"/>
      <c r="AF106" s="7"/>
    </row>
    <row r="107" spans="14:41" x14ac:dyDescent="0.35">
      <c r="N107" s="7"/>
      <c r="AF107" s="7"/>
    </row>
    <row r="108" spans="14:41" x14ac:dyDescent="0.35">
      <c r="N108" s="7"/>
      <c r="AF108" s="7"/>
    </row>
    <row r="109" spans="14:41" x14ac:dyDescent="0.35">
      <c r="N109" s="7"/>
      <c r="AF109" s="7"/>
    </row>
    <row r="110" spans="14:41" x14ac:dyDescent="0.35">
      <c r="N110" s="7"/>
      <c r="AF110" s="7"/>
    </row>
    <row r="111" spans="14:41" x14ac:dyDescent="0.35">
      <c r="N111" s="7"/>
      <c r="AF111" s="7"/>
    </row>
    <row r="112" spans="14:41" x14ac:dyDescent="0.35">
      <c r="N112" s="7"/>
      <c r="AF112" s="7"/>
      <c r="AG112" s="17"/>
      <c r="AH112" s="17"/>
      <c r="AI112" s="17"/>
      <c r="AJ112" s="17"/>
      <c r="AK112" s="17"/>
      <c r="AL112" s="17"/>
      <c r="AM112" s="17"/>
      <c r="AN112" s="17"/>
      <c r="AO112" s="17"/>
    </row>
    <row r="113" spans="14:41" x14ac:dyDescent="0.35">
      <c r="N113" s="7"/>
      <c r="AF113" s="7"/>
      <c r="AG113" s="17"/>
      <c r="AH113" s="17"/>
      <c r="AI113" s="17"/>
      <c r="AJ113" s="17"/>
      <c r="AK113" s="17"/>
      <c r="AL113" s="17"/>
      <c r="AM113" s="17"/>
      <c r="AN113" s="17"/>
      <c r="AO113" s="17"/>
    </row>
    <row r="114" spans="14:41" x14ac:dyDescent="0.35">
      <c r="N114" s="7"/>
      <c r="O114" s="7"/>
      <c r="P114" s="7"/>
      <c r="Q114" s="7"/>
      <c r="R114" s="7"/>
      <c r="S114" s="7"/>
      <c r="T114" s="7"/>
      <c r="U114" s="7"/>
      <c r="V114" s="7"/>
      <c r="W114" s="7"/>
      <c r="X114" s="7"/>
      <c r="AF114" s="7"/>
      <c r="AG114" s="17"/>
      <c r="AH114" s="17"/>
      <c r="AI114" s="17"/>
      <c r="AJ114" s="17"/>
      <c r="AK114" s="17"/>
      <c r="AL114" s="17"/>
      <c r="AM114" s="17"/>
      <c r="AN114" s="17"/>
      <c r="AO114" s="17"/>
    </row>
    <row r="115" spans="14:41" x14ac:dyDescent="0.35">
      <c r="N115" s="7"/>
      <c r="O115" s="7"/>
      <c r="P115" s="7"/>
      <c r="Q115" s="7"/>
      <c r="R115" s="7"/>
      <c r="S115" s="7"/>
      <c r="T115" s="7"/>
      <c r="U115" s="7"/>
      <c r="V115" s="7"/>
      <c r="W115" s="7"/>
      <c r="X115" s="7"/>
      <c r="AF115" s="7"/>
      <c r="AG115" s="17"/>
      <c r="AH115" s="17"/>
      <c r="AI115" s="17"/>
      <c r="AJ115" s="17"/>
      <c r="AK115" s="17"/>
      <c r="AL115" s="17"/>
      <c r="AM115" s="17"/>
      <c r="AN115" s="17"/>
      <c r="AO115" s="17"/>
    </row>
    <row r="116" spans="14:41" x14ac:dyDescent="0.35">
      <c r="N116" s="7"/>
      <c r="W116" s="7"/>
      <c r="X116" s="7"/>
      <c r="AF116" s="7"/>
      <c r="AG116" s="17"/>
      <c r="AH116" s="17"/>
      <c r="AI116" s="17"/>
      <c r="AJ116" s="17"/>
      <c r="AK116" s="17"/>
      <c r="AL116" s="17"/>
      <c r="AM116" s="17"/>
      <c r="AN116" s="17"/>
      <c r="AO116" s="17"/>
    </row>
    <row r="117" spans="14:41" x14ac:dyDescent="0.35">
      <c r="N117" s="7"/>
      <c r="W117" s="7"/>
      <c r="X117" s="7"/>
      <c r="Z117" s="64" t="s">
        <v>110</v>
      </c>
      <c r="AA117" s="65"/>
      <c r="AB117" s="65"/>
      <c r="AC117" s="65"/>
      <c r="AD117" s="65"/>
      <c r="AE117" s="65"/>
      <c r="AF117" s="65"/>
      <c r="AG117" s="66"/>
      <c r="AH117" s="17"/>
      <c r="AI117" s="17"/>
      <c r="AJ117" s="17"/>
      <c r="AK117" s="17"/>
      <c r="AL117" s="17"/>
      <c r="AM117" s="17"/>
      <c r="AN117" s="17"/>
      <c r="AO117" s="17"/>
    </row>
    <row r="118" spans="14:41" x14ac:dyDescent="0.35">
      <c r="N118" s="7"/>
      <c r="W118" s="7"/>
      <c r="X118" s="7"/>
      <c r="Z118" s="67" t="s">
        <v>111</v>
      </c>
      <c r="AA118" s="68"/>
      <c r="AB118" s="68"/>
      <c r="AC118" s="68"/>
      <c r="AD118" s="68"/>
      <c r="AE118" s="68"/>
      <c r="AF118" s="68"/>
      <c r="AG118" s="69"/>
      <c r="AH118" s="17"/>
      <c r="AI118" s="17"/>
      <c r="AJ118" s="17"/>
      <c r="AK118" s="17"/>
      <c r="AL118" s="17"/>
      <c r="AM118" s="17"/>
      <c r="AN118" s="17"/>
      <c r="AO118" s="17"/>
    </row>
    <row r="119" spans="14:41" x14ac:dyDescent="0.35">
      <c r="N119" s="7"/>
      <c r="W119" s="7"/>
      <c r="X119" s="7"/>
      <c r="Z119" s="28"/>
      <c r="AA119" s="29"/>
      <c r="AB119" s="29"/>
      <c r="AC119" s="29"/>
      <c r="AD119" s="29"/>
      <c r="AE119" s="29"/>
      <c r="AF119" s="29"/>
      <c r="AG119" s="30"/>
      <c r="AH119" s="17"/>
      <c r="AI119" s="17"/>
      <c r="AJ119" s="17"/>
      <c r="AK119" s="17"/>
      <c r="AL119" s="17"/>
      <c r="AM119" s="17"/>
      <c r="AN119" s="17"/>
      <c r="AO119" s="17"/>
    </row>
    <row r="120" spans="14:41" x14ac:dyDescent="0.35">
      <c r="N120" s="7"/>
      <c r="W120" s="7"/>
      <c r="X120" s="7"/>
      <c r="Z120" s="28"/>
      <c r="AA120" s="29"/>
      <c r="AB120" s="29"/>
      <c r="AC120" s="29"/>
      <c r="AD120" s="29"/>
      <c r="AE120" s="29"/>
      <c r="AF120" s="29"/>
      <c r="AG120" s="30"/>
      <c r="AH120" s="17"/>
      <c r="AI120" s="17"/>
      <c r="AJ120" s="17"/>
      <c r="AK120" s="17"/>
      <c r="AL120" s="17"/>
      <c r="AM120" s="17"/>
      <c r="AN120" s="17"/>
      <c r="AO120" s="17"/>
    </row>
    <row r="121" spans="14:41" x14ac:dyDescent="0.35">
      <c r="N121" s="7"/>
      <c r="W121" s="7"/>
      <c r="X121" s="7"/>
      <c r="Z121" s="28"/>
      <c r="AA121" s="29"/>
      <c r="AB121" s="29"/>
      <c r="AC121" s="29"/>
      <c r="AD121" s="29"/>
      <c r="AE121" s="29"/>
      <c r="AF121" s="29"/>
      <c r="AG121" s="30"/>
      <c r="AH121" s="17"/>
      <c r="AI121" s="17"/>
      <c r="AJ121" s="17"/>
      <c r="AK121" s="17"/>
      <c r="AL121" s="17"/>
      <c r="AM121" s="17"/>
      <c r="AN121" s="17"/>
      <c r="AO121" s="17"/>
    </row>
    <row r="122" spans="14:41" x14ac:dyDescent="0.35">
      <c r="N122" s="7"/>
      <c r="W122" s="7"/>
      <c r="X122" s="7"/>
      <c r="Z122" s="28"/>
      <c r="AA122" s="29"/>
      <c r="AB122" s="29"/>
      <c r="AC122" s="29"/>
      <c r="AD122" s="29"/>
      <c r="AE122" s="29"/>
      <c r="AF122" s="29"/>
      <c r="AG122" s="30"/>
      <c r="AH122" s="17"/>
      <c r="AI122" s="17"/>
      <c r="AJ122" s="17"/>
      <c r="AK122" s="17"/>
      <c r="AL122" s="17"/>
      <c r="AM122" s="17"/>
      <c r="AN122" s="17"/>
      <c r="AO122" s="17"/>
    </row>
    <row r="123" spans="14:41" x14ac:dyDescent="0.35">
      <c r="N123" s="7"/>
      <c r="W123" s="7"/>
      <c r="X123" s="7"/>
      <c r="Z123" s="28"/>
      <c r="AA123" s="29"/>
      <c r="AB123" s="29"/>
      <c r="AC123" s="29"/>
      <c r="AD123" s="29"/>
      <c r="AE123" s="29"/>
      <c r="AF123" s="29"/>
      <c r="AG123" s="30"/>
      <c r="AH123" s="17"/>
      <c r="AI123" s="17"/>
      <c r="AJ123" s="17"/>
      <c r="AK123" s="17"/>
      <c r="AL123" s="17"/>
      <c r="AM123" s="17"/>
      <c r="AN123" s="17"/>
      <c r="AO123" s="17"/>
    </row>
    <row r="124" spans="14:41" x14ac:dyDescent="0.35">
      <c r="N124" s="7"/>
      <c r="W124" s="7"/>
      <c r="X124" s="7"/>
      <c r="Z124" s="28"/>
      <c r="AA124" s="29"/>
      <c r="AB124" s="29"/>
      <c r="AC124" s="29"/>
      <c r="AD124" s="29"/>
      <c r="AE124" s="29"/>
      <c r="AF124" s="29"/>
      <c r="AG124" s="30"/>
      <c r="AH124" s="17"/>
      <c r="AI124" s="17"/>
      <c r="AJ124" s="17"/>
      <c r="AK124" s="17"/>
      <c r="AL124" s="17"/>
      <c r="AM124" s="17"/>
      <c r="AN124" s="17"/>
      <c r="AO124" s="17"/>
    </row>
    <row r="125" spans="14:41" x14ac:dyDescent="0.35">
      <c r="N125" s="7"/>
      <c r="W125" s="7"/>
      <c r="X125" s="7"/>
      <c r="Z125" s="28"/>
      <c r="AA125" s="29"/>
      <c r="AB125" s="29"/>
      <c r="AC125" s="29"/>
      <c r="AD125" s="29"/>
      <c r="AE125" s="29"/>
      <c r="AF125" s="29"/>
      <c r="AG125" s="30"/>
      <c r="AH125" s="17"/>
      <c r="AI125" s="17"/>
      <c r="AJ125" s="17"/>
      <c r="AK125" s="17"/>
      <c r="AL125" s="17"/>
      <c r="AM125" s="17"/>
      <c r="AN125" s="17"/>
      <c r="AO125" s="17"/>
    </row>
    <row r="126" spans="14:41" x14ac:dyDescent="0.35">
      <c r="N126" s="7"/>
      <c r="W126" s="7"/>
      <c r="X126" s="7"/>
      <c r="Z126" s="28"/>
      <c r="AA126" s="29"/>
      <c r="AB126" s="29"/>
      <c r="AC126" s="29"/>
      <c r="AD126" s="29"/>
      <c r="AE126" s="29"/>
      <c r="AF126" s="29"/>
      <c r="AG126" s="30"/>
      <c r="AH126" s="17"/>
      <c r="AI126" s="17"/>
      <c r="AJ126" s="17"/>
      <c r="AK126" s="17"/>
      <c r="AL126" s="17"/>
      <c r="AM126" s="17"/>
      <c r="AN126" s="17"/>
      <c r="AO126" s="17"/>
    </row>
    <row r="127" spans="14:41" x14ac:dyDescent="0.35">
      <c r="N127" s="7"/>
      <c r="W127" s="7"/>
      <c r="X127" s="7"/>
      <c r="Z127" s="28"/>
      <c r="AA127" s="29"/>
      <c r="AB127" s="29"/>
      <c r="AC127" s="29"/>
      <c r="AD127" s="29"/>
      <c r="AE127" s="29"/>
      <c r="AF127" s="29"/>
      <c r="AG127" s="30"/>
      <c r="AH127" s="17"/>
      <c r="AI127" s="17"/>
      <c r="AJ127" s="17"/>
      <c r="AK127" s="17"/>
      <c r="AL127" s="17"/>
      <c r="AM127" s="17"/>
      <c r="AN127" s="17"/>
      <c r="AO127" s="17"/>
    </row>
    <row r="128" spans="14:41" x14ac:dyDescent="0.35">
      <c r="N128" s="7"/>
      <c r="W128" s="7"/>
      <c r="X128" s="7"/>
      <c r="Z128" s="28"/>
      <c r="AA128" s="29"/>
      <c r="AB128" s="29"/>
      <c r="AC128" s="29"/>
      <c r="AD128" s="29"/>
      <c r="AE128" s="29"/>
      <c r="AF128" s="29"/>
      <c r="AG128" s="30"/>
      <c r="AH128" s="17"/>
      <c r="AI128" s="17"/>
      <c r="AJ128" s="17"/>
      <c r="AK128" s="17"/>
      <c r="AL128" s="17"/>
      <c r="AM128" s="17"/>
      <c r="AN128" s="17"/>
      <c r="AO128" s="17"/>
    </row>
    <row r="129" spans="14:41" x14ac:dyDescent="0.35">
      <c r="N129" s="7"/>
      <c r="W129" s="7"/>
      <c r="X129" s="7"/>
      <c r="Z129" s="28"/>
      <c r="AA129" s="29"/>
      <c r="AB129" s="29"/>
      <c r="AC129" s="29"/>
      <c r="AD129" s="29"/>
      <c r="AE129" s="29"/>
      <c r="AF129" s="29"/>
      <c r="AG129" s="30"/>
      <c r="AH129" s="17"/>
      <c r="AI129" s="17"/>
      <c r="AJ129" s="17"/>
      <c r="AK129" s="17"/>
      <c r="AL129" s="17"/>
      <c r="AM129" s="17"/>
      <c r="AN129" s="17"/>
      <c r="AO129" s="17"/>
    </row>
    <row r="130" spans="14:41" x14ac:dyDescent="0.35">
      <c r="N130" s="7"/>
      <c r="W130" s="7"/>
      <c r="X130" s="7"/>
      <c r="Z130" s="28"/>
      <c r="AA130" s="29"/>
      <c r="AB130" s="29"/>
      <c r="AC130" s="29"/>
      <c r="AD130" s="29"/>
      <c r="AE130" s="29"/>
      <c r="AF130" s="29"/>
      <c r="AG130" s="30"/>
      <c r="AH130" s="17"/>
      <c r="AI130" s="17"/>
      <c r="AJ130" s="17"/>
      <c r="AK130" s="17"/>
      <c r="AL130" s="17"/>
      <c r="AM130" s="17"/>
      <c r="AN130" s="17"/>
      <c r="AO130" s="17"/>
    </row>
    <row r="131" spans="14:41" x14ac:dyDescent="0.35">
      <c r="N131" s="7"/>
      <c r="W131" s="7"/>
      <c r="X131" s="7"/>
      <c r="Z131" s="28"/>
      <c r="AA131" s="29"/>
      <c r="AB131" s="29"/>
      <c r="AC131" s="29"/>
      <c r="AD131" s="29"/>
      <c r="AE131" s="29"/>
      <c r="AF131" s="29"/>
      <c r="AG131" s="30"/>
      <c r="AH131" s="17"/>
      <c r="AI131" s="17"/>
      <c r="AJ131" s="17"/>
      <c r="AK131" s="17"/>
      <c r="AL131" s="17"/>
      <c r="AM131" s="17"/>
      <c r="AN131" s="17"/>
      <c r="AO131" s="17"/>
    </row>
    <row r="132" spans="14:41" x14ac:dyDescent="0.35">
      <c r="N132" s="7"/>
      <c r="W132" s="7"/>
      <c r="X132" s="7"/>
      <c r="Z132" s="28"/>
      <c r="AA132" s="29"/>
      <c r="AB132" s="29"/>
      <c r="AC132" s="29"/>
      <c r="AD132" s="29"/>
      <c r="AE132" s="29"/>
      <c r="AF132" s="29"/>
      <c r="AG132" s="30"/>
      <c r="AH132" s="17"/>
      <c r="AI132" s="17"/>
      <c r="AJ132" s="17"/>
      <c r="AK132" s="17"/>
      <c r="AL132" s="17"/>
      <c r="AM132" s="17"/>
      <c r="AN132" s="17"/>
      <c r="AO132" s="17"/>
    </row>
    <row r="133" spans="14:41" x14ac:dyDescent="0.35">
      <c r="N133" s="7"/>
      <c r="W133" s="7"/>
      <c r="X133" s="7"/>
      <c r="Z133" s="28"/>
      <c r="AA133" s="29"/>
      <c r="AB133" s="29"/>
      <c r="AC133" s="29"/>
      <c r="AD133" s="29"/>
      <c r="AE133" s="29"/>
      <c r="AF133" s="29"/>
      <c r="AG133" s="30"/>
      <c r="AH133" s="17"/>
      <c r="AI133" s="17"/>
      <c r="AJ133" s="17"/>
      <c r="AK133" s="17"/>
      <c r="AL133" s="17"/>
      <c r="AM133" s="17"/>
      <c r="AN133" s="17"/>
      <c r="AO133" s="17"/>
    </row>
    <row r="134" spans="14:41" x14ac:dyDescent="0.35">
      <c r="N134" s="7"/>
      <c r="W134" s="7"/>
      <c r="X134" s="7"/>
      <c r="AF134" s="7"/>
      <c r="AG134" s="17"/>
      <c r="AH134" s="17"/>
      <c r="AI134" s="17"/>
      <c r="AJ134" s="17"/>
      <c r="AK134" s="17"/>
      <c r="AL134" s="17"/>
      <c r="AM134" s="17"/>
      <c r="AN134" s="17"/>
      <c r="AO134" s="17"/>
    </row>
    <row r="135" spans="14:41" x14ac:dyDescent="0.35">
      <c r="N135" s="7"/>
      <c r="W135" s="7"/>
      <c r="X135" s="7"/>
      <c r="AF135" s="7"/>
      <c r="AG135" s="17"/>
      <c r="AH135" s="17"/>
      <c r="AI135" s="17"/>
      <c r="AJ135" s="17"/>
      <c r="AK135" s="17"/>
      <c r="AL135" s="17"/>
      <c r="AM135" s="17"/>
      <c r="AN135" s="17"/>
      <c r="AO135" s="17"/>
    </row>
    <row r="136" spans="14:41" x14ac:dyDescent="0.35">
      <c r="N136" s="7"/>
      <c r="W136" s="7"/>
      <c r="X136" s="7"/>
      <c r="AF136" s="7"/>
      <c r="AG136" s="17"/>
      <c r="AH136" s="17"/>
      <c r="AI136" s="17"/>
      <c r="AJ136" s="17"/>
      <c r="AK136" s="17"/>
      <c r="AL136" s="17"/>
      <c r="AM136" s="17"/>
      <c r="AN136" s="17"/>
      <c r="AO136" s="17"/>
    </row>
    <row r="137" spans="14:41" x14ac:dyDescent="0.35">
      <c r="N137" s="7"/>
      <c r="W137" s="7"/>
      <c r="X137" s="7"/>
      <c r="AF137" s="7"/>
      <c r="AG137" s="7"/>
      <c r="AH137" s="7"/>
      <c r="AI137" s="7"/>
      <c r="AJ137" s="7"/>
      <c r="AK137" s="7"/>
      <c r="AL137" s="7"/>
      <c r="AM137" s="7"/>
      <c r="AN137" s="7"/>
      <c r="AO137" s="7"/>
    </row>
    <row r="138" spans="14:41" x14ac:dyDescent="0.35">
      <c r="N138" s="7"/>
      <c r="W138" s="7"/>
      <c r="X138" s="7"/>
      <c r="AF138" s="7"/>
      <c r="AG138" s="7"/>
      <c r="AH138" s="7"/>
      <c r="AI138" s="7"/>
      <c r="AJ138" s="7"/>
      <c r="AK138" s="7"/>
      <c r="AL138" s="7"/>
      <c r="AM138" s="7"/>
      <c r="AN138" s="7"/>
      <c r="AO138" s="7"/>
    </row>
    <row r="139" spans="14:41" x14ac:dyDescent="0.35">
      <c r="N139" s="7"/>
      <c r="W139" s="7"/>
      <c r="X139" s="7"/>
      <c r="AF139" s="7"/>
      <c r="AG139" s="7"/>
      <c r="AH139" s="7"/>
      <c r="AI139" s="7"/>
      <c r="AJ139" s="7"/>
      <c r="AK139" s="7"/>
      <c r="AL139" s="7"/>
      <c r="AM139" s="7"/>
      <c r="AN139" s="7"/>
      <c r="AO139" s="7"/>
    </row>
    <row r="140" spans="14:41" x14ac:dyDescent="0.35">
      <c r="N140" s="7"/>
      <c r="W140" s="7"/>
      <c r="X140" s="7"/>
      <c r="AF140" s="7"/>
      <c r="AG140" s="7"/>
      <c r="AH140" s="7"/>
      <c r="AI140" s="7"/>
      <c r="AJ140" s="7"/>
      <c r="AK140" s="7"/>
      <c r="AL140" s="7"/>
      <c r="AM140" s="7"/>
      <c r="AN140" s="7"/>
      <c r="AO140" s="7"/>
    </row>
    <row r="141" spans="14:41" x14ac:dyDescent="0.35">
      <c r="N141" s="7"/>
      <c r="W141" s="7"/>
      <c r="X141" s="7"/>
      <c r="AF141" s="7"/>
      <c r="AG141" s="7"/>
      <c r="AH141" s="7"/>
      <c r="AI141" s="7"/>
      <c r="AJ141" s="7"/>
      <c r="AK141" s="7"/>
      <c r="AL141" s="7"/>
      <c r="AM141" s="7"/>
      <c r="AN141" s="7"/>
      <c r="AO141" s="7"/>
    </row>
    <row r="142" spans="14:41" x14ac:dyDescent="0.35">
      <c r="N142" s="7"/>
      <c r="W142" s="7"/>
      <c r="X142" s="7"/>
      <c r="AF142" s="7"/>
      <c r="AG142" s="7"/>
      <c r="AH142" s="7"/>
      <c r="AI142" s="7"/>
      <c r="AJ142" s="7"/>
      <c r="AK142" s="7"/>
      <c r="AL142" s="7"/>
      <c r="AM142" s="7"/>
      <c r="AN142" s="7"/>
      <c r="AO142" s="7"/>
    </row>
    <row r="143" spans="14:41" x14ac:dyDescent="0.35">
      <c r="N143" s="7"/>
      <c r="W143" s="7"/>
      <c r="X143" s="7"/>
      <c r="AF143" s="7"/>
      <c r="AG143" s="7"/>
      <c r="AH143" s="7"/>
      <c r="AI143" s="7"/>
      <c r="AJ143" s="7"/>
      <c r="AK143" s="7"/>
      <c r="AL143" s="7"/>
      <c r="AM143" s="7"/>
      <c r="AN143" s="7"/>
      <c r="AO143" s="7"/>
    </row>
    <row r="144" spans="14:41" x14ac:dyDescent="0.35">
      <c r="N144" s="7"/>
      <c r="W144" s="7"/>
      <c r="X144" s="7"/>
      <c r="AF144" s="7"/>
      <c r="AG144" s="7"/>
      <c r="AH144" s="7"/>
      <c r="AI144" s="7"/>
      <c r="AJ144" s="7"/>
      <c r="AK144" s="7"/>
      <c r="AL144" s="7"/>
      <c r="AM144" s="7"/>
      <c r="AN144" s="7"/>
      <c r="AO144" s="7"/>
    </row>
    <row r="145" spans="14:24" x14ac:dyDescent="0.35">
      <c r="N145" s="7"/>
      <c r="W145" s="7"/>
      <c r="X145" s="7"/>
    </row>
    <row r="146" spans="14:24" x14ac:dyDescent="0.35">
      <c r="N146" s="7"/>
      <c r="W146" s="7"/>
      <c r="X146" s="7"/>
    </row>
    <row r="147" spans="14:24" x14ac:dyDescent="0.35">
      <c r="N147" s="7"/>
      <c r="W147" s="7"/>
      <c r="X147" s="7"/>
    </row>
    <row r="148" spans="14:24" x14ac:dyDescent="0.35">
      <c r="N148" s="7"/>
      <c r="W148" s="7"/>
      <c r="X148" s="7"/>
    </row>
    <row r="149" spans="14:24" x14ac:dyDescent="0.35">
      <c r="N149" s="7"/>
      <c r="W149" s="7"/>
      <c r="X149" s="7"/>
    </row>
    <row r="150" spans="14:24" x14ac:dyDescent="0.35">
      <c r="N150" s="7"/>
      <c r="W150" s="7"/>
      <c r="X150" s="7"/>
    </row>
    <row r="151" spans="14:24" x14ac:dyDescent="0.35">
      <c r="N151" s="7"/>
      <c r="W151" s="7"/>
      <c r="X151" s="7"/>
    </row>
    <row r="152" spans="14:24" x14ac:dyDescent="0.35">
      <c r="N152" s="7"/>
      <c r="W152" s="7"/>
      <c r="X152" s="7"/>
    </row>
    <row r="153" spans="14:24" x14ac:dyDescent="0.35">
      <c r="N153" s="7"/>
      <c r="W153" s="7"/>
      <c r="X153" s="7"/>
    </row>
    <row r="154" spans="14:24" x14ac:dyDescent="0.35">
      <c r="N154" s="7"/>
      <c r="W154" s="7"/>
      <c r="X154" s="7"/>
    </row>
    <row r="155" spans="14:24" x14ac:dyDescent="0.35">
      <c r="N155" s="7"/>
      <c r="W155" s="7"/>
      <c r="X155" s="7"/>
    </row>
    <row r="156" spans="14:24" x14ac:dyDescent="0.35">
      <c r="N156" s="7"/>
      <c r="W156" s="7"/>
      <c r="X156" s="7"/>
    </row>
    <row r="157" spans="14:24" x14ac:dyDescent="0.35">
      <c r="N157" s="7"/>
      <c r="W157" s="7"/>
      <c r="X157" s="7"/>
    </row>
    <row r="158" spans="14:24" x14ac:dyDescent="0.35">
      <c r="N158" s="7"/>
      <c r="O158" s="7"/>
      <c r="P158" s="7"/>
      <c r="Q158" s="7"/>
      <c r="R158" s="7"/>
      <c r="S158" s="7"/>
      <c r="T158" s="7"/>
      <c r="U158" s="7"/>
      <c r="V158" s="7"/>
      <c r="W158" s="7"/>
      <c r="X158" s="7"/>
    </row>
    <row r="159" spans="14:24" x14ac:dyDescent="0.35">
      <c r="N159" s="7"/>
      <c r="O159" s="7"/>
      <c r="P159" s="7"/>
      <c r="Q159" s="7"/>
      <c r="R159" s="7"/>
      <c r="S159" s="7"/>
      <c r="T159" s="7"/>
      <c r="U159" s="7"/>
      <c r="V159" s="7"/>
      <c r="W159" s="7"/>
      <c r="X159" s="7"/>
    </row>
    <row r="160" spans="14:24" x14ac:dyDescent="0.35">
      <c r="O160" s="7"/>
      <c r="P160" s="7"/>
      <c r="Q160" s="7"/>
      <c r="R160" s="7"/>
      <c r="S160" s="7"/>
      <c r="T160" s="7"/>
      <c r="U160" s="7"/>
      <c r="V160" s="7"/>
      <c r="W160" s="7"/>
      <c r="X160" s="7"/>
    </row>
    <row r="161" spans="15:24" x14ac:dyDescent="0.35">
      <c r="O161" s="7"/>
      <c r="P161" s="7"/>
      <c r="Q161" s="7"/>
      <c r="R161" s="7"/>
      <c r="S161" s="7"/>
      <c r="T161" s="7"/>
      <c r="U161" s="7"/>
      <c r="V161" s="7"/>
      <c r="W161" s="7"/>
      <c r="X161" s="7"/>
    </row>
    <row r="162" spans="15:24" x14ac:dyDescent="0.35">
      <c r="O162" s="7"/>
      <c r="P162" s="7"/>
      <c r="Q162" s="7"/>
      <c r="R162" s="7"/>
      <c r="S162" s="7"/>
      <c r="T162" s="7"/>
      <c r="U162" s="7"/>
      <c r="V162" s="7"/>
      <c r="W162" s="7"/>
      <c r="X162" s="7"/>
    </row>
    <row r="163" spans="15:24" x14ac:dyDescent="0.35">
      <c r="O163" s="7"/>
      <c r="P163" s="7"/>
      <c r="Q163" s="7"/>
      <c r="R163" s="7"/>
      <c r="S163" s="7"/>
      <c r="T163" s="7"/>
      <c r="U163" s="7"/>
      <c r="V163" s="7"/>
      <c r="W163" s="7"/>
      <c r="X163" s="7"/>
    </row>
    <row r="164" spans="15:24" x14ac:dyDescent="0.35">
      <c r="O164" s="7"/>
      <c r="P164" s="7"/>
      <c r="Q164" s="7"/>
      <c r="R164" s="7"/>
      <c r="S164" s="7"/>
      <c r="T164" s="7"/>
      <c r="U164" s="7"/>
      <c r="V164" s="7"/>
      <c r="W164" s="7"/>
      <c r="X164" s="7"/>
    </row>
    <row r="165" spans="15:24" x14ac:dyDescent="0.35">
      <c r="O165" s="7"/>
      <c r="P165" s="7"/>
      <c r="Q165" s="7"/>
      <c r="R165" s="7"/>
      <c r="S165" s="7"/>
      <c r="T165" s="7"/>
      <c r="U165" s="7"/>
      <c r="V165" s="7"/>
      <c r="W165" s="7"/>
      <c r="X165" s="7"/>
    </row>
    <row r="166" spans="15:24" x14ac:dyDescent="0.35">
      <c r="O166" s="7"/>
      <c r="P166" s="7"/>
      <c r="Q166" s="7"/>
      <c r="R166" s="7"/>
      <c r="S166" s="7"/>
      <c r="T166" s="7"/>
      <c r="U166" s="7"/>
      <c r="V166" s="7"/>
      <c r="W166" s="7"/>
      <c r="X166" s="7"/>
    </row>
    <row r="167" spans="15:24" x14ac:dyDescent="0.35">
      <c r="O167" s="7"/>
      <c r="P167" s="7"/>
      <c r="Q167" s="7"/>
      <c r="R167" s="7"/>
      <c r="S167" s="7"/>
      <c r="T167" s="7"/>
      <c r="U167" s="7"/>
      <c r="V167" s="7"/>
      <c r="W167" s="7"/>
      <c r="X167" s="7"/>
    </row>
    <row r="168" spans="15:24" x14ac:dyDescent="0.35">
      <c r="O168" s="7"/>
      <c r="P168" s="7"/>
      <c r="Q168" s="7"/>
      <c r="R168" s="7"/>
      <c r="S168" s="7"/>
      <c r="T168" s="7"/>
      <c r="U168" s="7"/>
      <c r="V168" s="7"/>
      <c r="W168" s="7"/>
      <c r="X168" s="7"/>
    </row>
    <row r="169" spans="15:24" x14ac:dyDescent="0.35">
      <c r="O169" s="7"/>
      <c r="P169" s="7"/>
      <c r="Q169" s="7"/>
      <c r="R169" s="7"/>
      <c r="S169" s="7"/>
      <c r="T169" s="7"/>
      <c r="U169" s="7"/>
      <c r="V169" s="7"/>
      <c r="W169" s="7"/>
      <c r="X169" s="7"/>
    </row>
    <row r="170" spans="15:24" x14ac:dyDescent="0.35">
      <c r="O170" s="7"/>
      <c r="P170" s="7"/>
      <c r="Q170" s="7"/>
      <c r="R170" s="7"/>
      <c r="S170" s="7"/>
      <c r="T170" s="7"/>
      <c r="U170" s="7"/>
      <c r="V170" s="7"/>
      <c r="W170" s="7"/>
      <c r="X170" s="7"/>
    </row>
    <row r="171" spans="15:24" x14ac:dyDescent="0.35">
      <c r="O171" s="7"/>
      <c r="P171" s="7"/>
      <c r="Q171" s="7"/>
      <c r="R171" s="7"/>
      <c r="S171" s="7"/>
      <c r="T171" s="7"/>
      <c r="U171" s="7"/>
      <c r="V171" s="7"/>
      <c r="W171" s="7"/>
      <c r="X171" s="7"/>
    </row>
    <row r="172" spans="15:24" x14ac:dyDescent="0.35">
      <c r="O172" s="7"/>
      <c r="P172" s="7"/>
      <c r="Q172" s="7"/>
      <c r="R172" s="7"/>
      <c r="S172" s="7"/>
      <c r="T172" s="7"/>
      <c r="U172" s="7"/>
      <c r="V172" s="7"/>
      <c r="W172" s="7"/>
      <c r="X172" s="7"/>
    </row>
    <row r="173" spans="15:24" x14ac:dyDescent="0.35">
      <c r="O173" s="7"/>
      <c r="P173" s="7"/>
      <c r="Q173" s="7"/>
      <c r="R173" s="7"/>
      <c r="S173" s="7"/>
      <c r="T173" s="7"/>
      <c r="U173" s="7"/>
      <c r="V173" s="7"/>
      <c r="W173" s="7"/>
      <c r="X173" s="7"/>
    </row>
    <row r="174" spans="15:24" x14ac:dyDescent="0.35">
      <c r="O174" s="7"/>
      <c r="P174" s="7"/>
      <c r="Q174" s="7"/>
      <c r="R174" s="7"/>
      <c r="S174" s="7"/>
      <c r="T174" s="7"/>
      <c r="U174" s="7"/>
      <c r="V174" s="7"/>
      <c r="W174" s="7"/>
      <c r="X174" s="7"/>
    </row>
    <row r="175" spans="15:24" x14ac:dyDescent="0.35">
      <c r="O175" s="7"/>
      <c r="P175" s="7"/>
      <c r="Q175" s="7"/>
      <c r="R175" s="7"/>
      <c r="S175" s="7"/>
      <c r="T175" s="7"/>
      <c r="U175" s="7"/>
      <c r="V175" s="7"/>
      <c r="W175" s="7"/>
      <c r="X175" s="7"/>
    </row>
    <row r="176" spans="15:24" x14ac:dyDescent="0.35">
      <c r="O176" s="7"/>
      <c r="P176" s="7"/>
      <c r="Q176" s="7"/>
      <c r="R176" s="7"/>
      <c r="S176" s="7"/>
      <c r="T176" s="7"/>
      <c r="U176" s="7"/>
      <c r="V176" s="7"/>
      <c r="W176" s="7"/>
      <c r="X176" s="7"/>
    </row>
    <row r="177" spans="15:24" x14ac:dyDescent="0.35">
      <c r="O177" s="7"/>
      <c r="P177" s="7"/>
      <c r="Q177" s="7"/>
      <c r="R177" s="7"/>
      <c r="S177" s="7"/>
      <c r="T177" s="7"/>
      <c r="U177" s="7"/>
      <c r="V177" s="7"/>
      <c r="W177" s="7"/>
      <c r="X177" s="7"/>
    </row>
    <row r="178" spans="15:24" x14ac:dyDescent="0.35">
      <c r="O178" s="7"/>
      <c r="P178" s="7"/>
      <c r="Q178" s="7"/>
      <c r="R178" s="7"/>
      <c r="S178" s="7"/>
      <c r="T178" s="7"/>
      <c r="U178" s="7"/>
      <c r="V178" s="7"/>
      <c r="W178" s="7"/>
      <c r="X178" s="7"/>
    </row>
    <row r="179" spans="15:24" x14ac:dyDescent="0.35">
      <c r="O179" s="7"/>
      <c r="P179" s="7"/>
      <c r="Q179" s="7"/>
      <c r="R179" s="7"/>
      <c r="S179" s="7"/>
      <c r="T179" s="7"/>
      <c r="U179" s="7"/>
      <c r="V179" s="7"/>
      <c r="W179" s="7"/>
      <c r="X179" s="7"/>
    </row>
    <row r="180" spans="15:24" x14ac:dyDescent="0.35">
      <c r="O180" s="7"/>
      <c r="P180" s="7"/>
      <c r="Q180" s="7"/>
      <c r="R180" s="7"/>
      <c r="S180" s="7"/>
      <c r="T180" s="7"/>
      <c r="U180" s="7"/>
      <c r="V180" s="7"/>
      <c r="W180" s="7"/>
      <c r="X180" s="7"/>
    </row>
    <row r="181" spans="15:24" x14ac:dyDescent="0.35">
      <c r="O181" s="7"/>
      <c r="P181" s="7"/>
      <c r="Q181" s="7"/>
      <c r="R181" s="7"/>
      <c r="S181" s="7"/>
      <c r="T181" s="7"/>
      <c r="U181" s="7"/>
      <c r="V181" s="7"/>
      <c r="W181" s="7"/>
      <c r="X181" s="7"/>
    </row>
    <row r="182" spans="15:24" x14ac:dyDescent="0.35">
      <c r="O182" s="7"/>
      <c r="P182" s="7"/>
      <c r="Q182" s="7"/>
      <c r="R182" s="7"/>
      <c r="S182" s="7"/>
      <c r="T182" s="7"/>
      <c r="U182" s="7"/>
      <c r="V182" s="7"/>
      <c r="W182" s="7"/>
      <c r="X182" s="7"/>
    </row>
    <row r="183" spans="15:24" x14ac:dyDescent="0.35">
      <c r="O183" s="7"/>
      <c r="P183" s="7"/>
      <c r="Q183" s="7"/>
      <c r="R183" s="7"/>
      <c r="S183" s="7"/>
      <c r="T183" s="7"/>
      <c r="U183" s="7"/>
      <c r="V183" s="7"/>
      <c r="W183" s="7"/>
      <c r="X183" s="7"/>
    </row>
    <row r="184" spans="15:24" x14ac:dyDescent="0.35">
      <c r="O184" s="7"/>
      <c r="P184" s="7"/>
      <c r="Q184" s="7"/>
      <c r="R184" s="7"/>
      <c r="S184" s="7"/>
      <c r="T184" s="7"/>
      <c r="U184" s="7"/>
      <c r="V184" s="7"/>
      <c r="W184" s="7"/>
      <c r="X184" s="7"/>
    </row>
    <row r="185" spans="15:24" x14ac:dyDescent="0.35">
      <c r="O185" s="7"/>
      <c r="P185" s="7"/>
      <c r="Q185" s="7"/>
      <c r="R185" s="7"/>
      <c r="S185" s="7"/>
      <c r="T185" s="7"/>
      <c r="U185" s="7"/>
      <c r="V185" s="7"/>
      <c r="W185" s="7"/>
      <c r="X185" s="7"/>
    </row>
    <row r="186" spans="15:24" x14ac:dyDescent="0.35">
      <c r="O186" s="7"/>
      <c r="P186" s="7"/>
      <c r="Q186" s="7"/>
      <c r="R186" s="7"/>
      <c r="S186" s="7"/>
      <c r="T186" s="7"/>
      <c r="U186" s="7"/>
      <c r="V186" s="7"/>
      <c r="W186" s="7"/>
      <c r="X186" s="7"/>
    </row>
    <row r="187" spans="15:24" x14ac:dyDescent="0.35">
      <c r="O187" s="7"/>
      <c r="P187" s="7"/>
      <c r="Q187" s="7"/>
      <c r="R187" s="7"/>
      <c r="S187" s="7"/>
      <c r="T187" s="7"/>
      <c r="U187" s="7"/>
      <c r="V187" s="7"/>
      <c r="W187" s="7"/>
      <c r="X187" s="7"/>
    </row>
    <row r="188" spans="15:24" x14ac:dyDescent="0.35">
      <c r="O188" s="7"/>
      <c r="P188" s="7"/>
      <c r="Q188" s="7"/>
      <c r="R188" s="7"/>
      <c r="S188" s="7"/>
      <c r="T188" s="7"/>
      <c r="U188" s="7"/>
      <c r="V188" s="7"/>
      <c r="W188" s="7"/>
      <c r="X188" s="7"/>
    </row>
    <row r="189" spans="15:24" x14ac:dyDescent="0.35">
      <c r="O189" s="7"/>
      <c r="P189" s="7"/>
      <c r="Q189" s="7"/>
      <c r="R189" s="7"/>
      <c r="S189" s="7"/>
      <c r="T189" s="7"/>
      <c r="U189" s="7"/>
      <c r="V189" s="7"/>
      <c r="W189" s="7"/>
      <c r="X189" s="7"/>
    </row>
    <row r="190" spans="15:24" x14ac:dyDescent="0.35">
      <c r="O190" s="7"/>
      <c r="P190" s="7"/>
      <c r="Q190" s="7"/>
      <c r="R190" s="7"/>
      <c r="S190" s="7"/>
      <c r="T190" s="7"/>
      <c r="U190" s="7"/>
      <c r="V190" s="7"/>
      <c r="W190" s="7"/>
      <c r="X190" s="7"/>
    </row>
    <row r="191" spans="15:24" x14ac:dyDescent="0.35">
      <c r="O191" s="7"/>
      <c r="P191" s="7"/>
      <c r="Q191" s="7"/>
      <c r="R191" s="7"/>
      <c r="S191" s="7"/>
      <c r="T191" s="7"/>
      <c r="U191" s="7"/>
      <c r="V191" s="7"/>
      <c r="W191" s="7"/>
      <c r="X191" s="7"/>
    </row>
    <row r="192" spans="15:24" x14ac:dyDescent="0.35">
      <c r="O192" s="7"/>
      <c r="P192" s="7"/>
      <c r="Q192" s="7"/>
      <c r="R192" s="7"/>
      <c r="S192" s="7"/>
      <c r="T192" s="7"/>
      <c r="U192" s="7"/>
      <c r="V192" s="7"/>
      <c r="W192" s="7"/>
      <c r="X192" s="7"/>
    </row>
    <row r="193" spans="15:24" x14ac:dyDescent="0.35">
      <c r="O193" s="7"/>
      <c r="P193" s="7"/>
      <c r="Q193" s="7"/>
      <c r="R193" s="7"/>
      <c r="S193" s="7"/>
      <c r="T193" s="7"/>
      <c r="U193" s="7"/>
      <c r="V193" s="7"/>
      <c r="W193" s="7"/>
      <c r="X193" s="7"/>
    </row>
    <row r="194" spans="15:24" x14ac:dyDescent="0.35">
      <c r="O194" s="7"/>
      <c r="P194" s="7"/>
      <c r="Q194" s="7"/>
      <c r="R194" s="7"/>
      <c r="S194" s="7"/>
      <c r="T194" s="7"/>
      <c r="U194" s="7"/>
      <c r="V194" s="7"/>
      <c r="W194" s="7"/>
      <c r="X194" s="7"/>
    </row>
    <row r="195" spans="15:24" x14ac:dyDescent="0.35">
      <c r="O195" s="7"/>
      <c r="P195" s="7"/>
      <c r="Q195" s="7"/>
      <c r="R195" s="7"/>
      <c r="S195" s="7"/>
      <c r="T195" s="7"/>
      <c r="U195" s="7"/>
      <c r="V195" s="7"/>
      <c r="W195" s="7"/>
      <c r="X195" s="7"/>
    </row>
    <row r="196" spans="15:24" x14ac:dyDescent="0.35">
      <c r="O196" s="7"/>
      <c r="P196" s="7"/>
      <c r="Q196" s="7"/>
      <c r="R196" s="7"/>
      <c r="S196" s="7"/>
      <c r="T196" s="7"/>
      <c r="U196" s="7"/>
      <c r="V196" s="7"/>
      <c r="W196" s="7"/>
      <c r="X196" s="7"/>
    </row>
    <row r="197" spans="15:24" x14ac:dyDescent="0.35">
      <c r="O197" s="7"/>
      <c r="P197" s="7"/>
      <c r="Q197" s="7"/>
      <c r="R197" s="7"/>
      <c r="S197" s="7"/>
      <c r="T197" s="7"/>
      <c r="U197" s="7"/>
      <c r="V197" s="7"/>
      <c r="W197" s="7"/>
      <c r="X197" s="7"/>
    </row>
    <row r="198" spans="15:24" x14ac:dyDescent="0.35">
      <c r="O198" s="7"/>
      <c r="P198" s="7"/>
      <c r="Q198" s="7"/>
      <c r="R198" s="7"/>
      <c r="S198" s="7"/>
      <c r="T198" s="7"/>
      <c r="U198" s="7"/>
      <c r="V198" s="7"/>
      <c r="W198" s="7"/>
      <c r="X198" s="7"/>
    </row>
    <row r="199" spans="15:24" x14ac:dyDescent="0.35">
      <c r="O199" s="7"/>
      <c r="P199" s="7"/>
      <c r="Q199" s="7"/>
      <c r="R199" s="7"/>
      <c r="S199" s="7"/>
      <c r="T199" s="7"/>
      <c r="U199" s="7"/>
      <c r="V199" s="7"/>
      <c r="W199" s="7"/>
      <c r="X199" s="7"/>
    </row>
    <row r="200" spans="15:24" x14ac:dyDescent="0.35">
      <c r="O200" s="7"/>
      <c r="P200" s="7"/>
      <c r="Q200" s="7"/>
      <c r="R200" s="7"/>
      <c r="S200" s="7"/>
      <c r="T200" s="7"/>
      <c r="U200" s="7"/>
      <c r="V200" s="7"/>
      <c r="W200" s="7"/>
      <c r="X200" s="7"/>
    </row>
    <row r="201" spans="15:24" x14ac:dyDescent="0.35">
      <c r="O201" s="7"/>
      <c r="P201" s="7"/>
      <c r="Q201" s="7"/>
      <c r="R201" s="7"/>
      <c r="S201" s="7"/>
      <c r="T201" s="7"/>
      <c r="U201" s="7"/>
      <c r="V201" s="7"/>
      <c r="W201" s="7"/>
      <c r="X201" s="7"/>
    </row>
    <row r="202" spans="15:24" x14ac:dyDescent="0.35">
      <c r="O202" s="7"/>
      <c r="P202" s="7"/>
      <c r="Q202" s="7"/>
      <c r="R202" s="7"/>
      <c r="S202" s="7"/>
      <c r="T202" s="7"/>
      <c r="U202" s="7"/>
      <c r="V202" s="7"/>
      <c r="W202" s="7"/>
      <c r="X202" s="7"/>
    </row>
    <row r="203" spans="15:24" x14ac:dyDescent="0.35">
      <c r="O203" s="7"/>
      <c r="P203" s="7"/>
      <c r="Q203" s="7"/>
      <c r="R203" s="7"/>
      <c r="S203" s="7"/>
      <c r="T203" s="7"/>
      <c r="U203" s="7"/>
      <c r="V203" s="7"/>
      <c r="W203" s="7"/>
      <c r="X203" s="7"/>
    </row>
    <row r="204" spans="15:24" x14ac:dyDescent="0.35">
      <c r="O204" s="7"/>
      <c r="P204" s="7"/>
      <c r="Q204" s="7"/>
      <c r="R204" s="7"/>
      <c r="S204" s="7"/>
      <c r="T204" s="7"/>
      <c r="U204" s="7"/>
      <c r="V204" s="7"/>
      <c r="W204" s="7"/>
      <c r="X204" s="7"/>
    </row>
    <row r="205" spans="15:24" x14ac:dyDescent="0.35">
      <c r="O205" s="7"/>
      <c r="P205" s="7"/>
      <c r="Q205" s="7"/>
      <c r="R205" s="7"/>
      <c r="S205" s="7"/>
      <c r="T205" s="7"/>
      <c r="U205" s="7"/>
      <c r="V205" s="7"/>
      <c r="W205" s="7"/>
      <c r="X205" s="7"/>
    </row>
    <row r="206" spans="15:24" x14ac:dyDescent="0.35">
      <c r="O206" s="7"/>
      <c r="P206" s="7"/>
      <c r="Q206" s="7"/>
      <c r="R206" s="7"/>
      <c r="S206" s="7"/>
      <c r="T206" s="7"/>
      <c r="U206" s="7"/>
      <c r="V206" s="7"/>
      <c r="W206" s="7"/>
      <c r="X206" s="7"/>
    </row>
    <row r="207" spans="15:24" x14ac:dyDescent="0.35">
      <c r="O207" s="7"/>
      <c r="P207" s="7"/>
      <c r="Q207" s="7"/>
      <c r="R207" s="7"/>
      <c r="S207" s="7"/>
      <c r="T207" s="7"/>
      <c r="U207" s="7"/>
      <c r="V207" s="7"/>
      <c r="W207" s="7"/>
      <c r="X207" s="7"/>
    </row>
    <row r="208" spans="15:24" x14ac:dyDescent="0.35">
      <c r="O208" s="7"/>
      <c r="P208" s="7"/>
      <c r="Q208" s="7"/>
      <c r="R208" s="7"/>
      <c r="S208" s="7"/>
      <c r="T208" s="7"/>
      <c r="U208" s="7"/>
      <c r="V208" s="7"/>
      <c r="W208" s="7"/>
      <c r="X208" s="7"/>
    </row>
    <row r="209" spans="15:24" x14ac:dyDescent="0.35">
      <c r="O209" s="7"/>
      <c r="P209" s="7"/>
      <c r="Q209" s="7"/>
      <c r="R209" s="7"/>
      <c r="S209" s="7"/>
      <c r="T209" s="7"/>
      <c r="U209" s="7"/>
      <c r="V209" s="7"/>
      <c r="W209" s="7"/>
      <c r="X209" s="7"/>
    </row>
    <row r="210" spans="15:24" x14ac:dyDescent="0.35">
      <c r="O210" s="7"/>
      <c r="P210" s="7"/>
      <c r="Q210" s="7"/>
      <c r="R210" s="7"/>
      <c r="S210" s="7"/>
      <c r="T210" s="7"/>
      <c r="U210" s="7"/>
      <c r="V210" s="7"/>
      <c r="W210" s="7"/>
      <c r="X210" s="7"/>
    </row>
    <row r="211" spans="15:24" x14ac:dyDescent="0.35">
      <c r="O211" s="7"/>
      <c r="P211" s="7"/>
      <c r="Q211" s="7"/>
      <c r="R211" s="7"/>
      <c r="S211" s="7"/>
      <c r="T211" s="7"/>
      <c r="U211" s="7"/>
      <c r="V211" s="7"/>
      <c r="W211" s="7"/>
      <c r="X211" s="7"/>
    </row>
    <row r="212" spans="15:24" x14ac:dyDescent="0.35">
      <c r="O212" s="7"/>
      <c r="P212" s="7"/>
      <c r="Q212" s="7"/>
      <c r="R212" s="7"/>
      <c r="S212" s="7"/>
      <c r="T212" s="7"/>
      <c r="U212" s="7"/>
      <c r="V212" s="7"/>
      <c r="W212" s="7"/>
      <c r="X212" s="7"/>
    </row>
    <row r="213" spans="15:24" x14ac:dyDescent="0.35">
      <c r="O213" s="7"/>
      <c r="P213" s="7"/>
      <c r="Q213" s="7"/>
      <c r="R213" s="7"/>
      <c r="S213" s="7"/>
      <c r="T213" s="7"/>
      <c r="U213" s="7"/>
      <c r="V213" s="7"/>
      <c r="W213" s="7"/>
      <c r="X213" s="7"/>
    </row>
    <row r="214" spans="15:24" x14ac:dyDescent="0.35">
      <c r="O214" s="7"/>
      <c r="P214" s="7"/>
      <c r="Q214" s="7"/>
      <c r="R214" s="7"/>
      <c r="S214" s="7"/>
      <c r="T214" s="7"/>
      <c r="U214" s="7"/>
      <c r="V214" s="7"/>
      <c r="W214" s="7"/>
      <c r="X214" s="7"/>
    </row>
    <row r="215" spans="15:24" x14ac:dyDescent="0.35">
      <c r="O215" s="7"/>
      <c r="P215" s="7"/>
      <c r="Q215" s="7"/>
      <c r="R215" s="7"/>
      <c r="S215" s="7"/>
      <c r="T215" s="7"/>
      <c r="U215" s="7"/>
      <c r="V215" s="7"/>
      <c r="W215" s="7"/>
      <c r="X215" s="7"/>
    </row>
    <row r="216" spans="15:24" x14ac:dyDescent="0.35">
      <c r="O216" s="7"/>
      <c r="P216" s="7"/>
      <c r="Q216" s="7"/>
      <c r="R216" s="7"/>
      <c r="S216" s="7"/>
      <c r="T216" s="7"/>
      <c r="U216" s="7"/>
      <c r="V216" s="7"/>
      <c r="W216" s="7"/>
      <c r="X216" s="7"/>
    </row>
    <row r="217" spans="15:24" x14ac:dyDescent="0.35">
      <c r="O217" s="7"/>
      <c r="P217" s="7"/>
      <c r="Q217" s="7"/>
      <c r="R217" s="7"/>
      <c r="S217" s="7"/>
      <c r="T217" s="7"/>
      <c r="U217" s="7"/>
      <c r="V217" s="7"/>
      <c r="W217" s="7"/>
      <c r="X217" s="7"/>
    </row>
    <row r="218" spans="15:24" x14ac:dyDescent="0.35">
      <c r="O218" s="7"/>
      <c r="P218" s="7"/>
      <c r="Q218" s="7"/>
      <c r="R218" s="7"/>
      <c r="S218" s="7"/>
      <c r="T218" s="7"/>
      <c r="U218" s="7"/>
      <c r="V218" s="7"/>
      <c r="W218" s="7"/>
      <c r="X218" s="7"/>
    </row>
    <row r="219" spans="15:24" x14ac:dyDescent="0.35">
      <c r="O219" s="7"/>
      <c r="P219" s="7"/>
      <c r="Q219" s="7"/>
      <c r="R219" s="7"/>
      <c r="S219" s="7"/>
      <c r="T219" s="7"/>
      <c r="U219" s="7"/>
      <c r="V219" s="7"/>
      <c r="W219" s="7"/>
      <c r="X219" s="7"/>
    </row>
    <row r="220" spans="15:24" x14ac:dyDescent="0.35">
      <c r="O220" s="7"/>
      <c r="P220" s="7"/>
      <c r="Q220" s="7"/>
      <c r="R220" s="7"/>
      <c r="S220" s="7"/>
      <c r="T220" s="7"/>
      <c r="U220" s="7"/>
      <c r="V220" s="7"/>
      <c r="W220" s="7"/>
      <c r="X220" s="7"/>
    </row>
    <row r="221" spans="15:24" x14ac:dyDescent="0.35">
      <c r="O221" s="7"/>
      <c r="P221" s="7"/>
      <c r="Q221" s="7"/>
      <c r="R221" s="7"/>
      <c r="S221" s="7"/>
      <c r="T221" s="7"/>
      <c r="U221" s="7"/>
      <c r="V221" s="7"/>
      <c r="W221" s="7"/>
      <c r="X221" s="7"/>
    </row>
    <row r="222" spans="15:24" x14ac:dyDescent="0.35">
      <c r="O222" s="7"/>
      <c r="P222" s="7"/>
      <c r="Q222" s="7"/>
      <c r="R222" s="7"/>
      <c r="S222" s="7"/>
      <c r="T222" s="7"/>
      <c r="U222" s="7"/>
      <c r="V222" s="7"/>
      <c r="W222" s="7"/>
      <c r="X222" s="7"/>
    </row>
    <row r="223" spans="15:24" x14ac:dyDescent="0.35">
      <c r="O223" s="7"/>
      <c r="P223" s="7"/>
      <c r="Q223" s="7"/>
      <c r="R223" s="7"/>
      <c r="S223" s="7"/>
      <c r="T223" s="7"/>
      <c r="U223" s="7"/>
      <c r="V223" s="7"/>
      <c r="W223" s="7"/>
      <c r="X223" s="7"/>
    </row>
    <row r="224" spans="15:24" x14ac:dyDescent="0.35">
      <c r="O224" s="7"/>
      <c r="P224" s="7"/>
      <c r="Q224" s="7"/>
      <c r="R224" s="7"/>
      <c r="S224" s="7"/>
      <c r="T224" s="7"/>
      <c r="U224" s="7"/>
      <c r="V224" s="7"/>
      <c r="W224" s="7"/>
      <c r="X224" s="7"/>
    </row>
    <row r="225" spans="15:24" x14ac:dyDescent="0.35">
      <c r="O225" s="7"/>
      <c r="P225" s="7"/>
      <c r="Q225" s="7"/>
      <c r="R225" s="7"/>
      <c r="S225" s="7"/>
      <c r="T225" s="7"/>
      <c r="U225" s="7"/>
      <c r="V225" s="7"/>
      <c r="W225" s="7"/>
      <c r="X225" s="7"/>
    </row>
    <row r="226" spans="15:24" x14ac:dyDescent="0.35">
      <c r="O226" s="7"/>
      <c r="P226" s="7"/>
      <c r="Q226" s="7"/>
      <c r="R226" s="7"/>
      <c r="S226" s="7"/>
      <c r="T226" s="7"/>
      <c r="U226" s="7"/>
      <c r="V226" s="7"/>
      <c r="W226" s="7"/>
      <c r="X226" s="7"/>
    </row>
    <row r="227" spans="15:24" x14ac:dyDescent="0.35">
      <c r="O227" s="7"/>
      <c r="P227" s="7"/>
      <c r="Q227" s="7"/>
      <c r="R227" s="7"/>
      <c r="S227" s="7"/>
      <c r="T227" s="7"/>
      <c r="U227" s="7"/>
      <c r="V227" s="7"/>
      <c r="W227" s="7"/>
      <c r="X227" s="7"/>
    </row>
    <row r="228" spans="15:24" x14ac:dyDescent="0.35">
      <c r="O228" s="7"/>
      <c r="P228" s="7"/>
      <c r="Q228" s="7"/>
      <c r="R228" s="7"/>
      <c r="S228" s="7"/>
      <c r="T228" s="7"/>
      <c r="U228" s="7"/>
      <c r="V228" s="7"/>
      <c r="W228" s="7"/>
      <c r="X228" s="7"/>
    </row>
    <row r="229" spans="15:24" x14ac:dyDescent="0.35">
      <c r="O229" s="7"/>
      <c r="P229" s="7"/>
      <c r="Q229" s="7"/>
      <c r="R229" s="7"/>
      <c r="S229" s="7"/>
      <c r="T229" s="7"/>
      <c r="U229" s="7"/>
      <c r="V229" s="7"/>
      <c r="W229" s="7"/>
      <c r="X229" s="7"/>
    </row>
    <row r="230" spans="15:24" x14ac:dyDescent="0.35">
      <c r="O230" s="7"/>
      <c r="P230" s="7"/>
      <c r="Q230" s="7"/>
      <c r="R230" s="7"/>
      <c r="S230" s="7"/>
      <c r="T230" s="7"/>
      <c r="U230" s="7"/>
      <c r="V230" s="7"/>
      <c r="W230" s="7"/>
      <c r="X230" s="7"/>
    </row>
    <row r="231" spans="15:24" x14ac:dyDescent="0.35">
      <c r="O231" s="7"/>
      <c r="P231" s="7"/>
      <c r="Q231" s="7"/>
      <c r="R231" s="7"/>
      <c r="S231" s="7"/>
      <c r="T231" s="7"/>
      <c r="U231" s="7"/>
      <c r="V231" s="7"/>
      <c r="W231" s="7"/>
      <c r="X231" s="7"/>
    </row>
    <row r="232" spans="15:24" x14ac:dyDescent="0.35">
      <c r="O232" s="7"/>
      <c r="P232" s="7"/>
      <c r="Q232" s="7"/>
      <c r="R232" s="7"/>
      <c r="S232" s="7"/>
      <c r="T232" s="7"/>
      <c r="U232" s="7"/>
      <c r="V232" s="7"/>
      <c r="W232" s="7"/>
      <c r="X232" s="7"/>
    </row>
    <row r="233" spans="15:24" x14ac:dyDescent="0.35">
      <c r="O233" s="7"/>
      <c r="P233" s="7"/>
      <c r="Q233" s="7"/>
      <c r="R233" s="7"/>
      <c r="S233" s="7"/>
      <c r="T233" s="7"/>
      <c r="U233" s="7"/>
      <c r="V233" s="7"/>
      <c r="W233" s="7"/>
      <c r="X233" s="7"/>
    </row>
    <row r="234" spans="15:24" x14ac:dyDescent="0.35">
      <c r="O234" s="7"/>
      <c r="P234" s="7"/>
      <c r="Q234" s="7"/>
      <c r="R234" s="7"/>
      <c r="S234" s="7"/>
      <c r="T234" s="7"/>
      <c r="U234" s="7"/>
      <c r="V234" s="7"/>
      <c r="W234" s="7"/>
      <c r="X234" s="7"/>
    </row>
    <row r="235" spans="15:24" x14ac:dyDescent="0.35">
      <c r="O235" s="7"/>
      <c r="P235" s="7"/>
      <c r="Q235" s="7"/>
      <c r="R235" s="7"/>
      <c r="S235" s="7"/>
      <c r="T235" s="7"/>
      <c r="U235" s="7"/>
      <c r="V235" s="7"/>
      <c r="W235" s="7"/>
      <c r="X235" s="7"/>
    </row>
    <row r="236" spans="15:24" x14ac:dyDescent="0.35">
      <c r="O236" s="7"/>
      <c r="P236" s="7"/>
      <c r="Q236" s="7"/>
      <c r="R236" s="7"/>
      <c r="S236" s="7"/>
      <c r="T236" s="7"/>
      <c r="U236" s="7"/>
      <c r="V236" s="7"/>
      <c r="W236" s="7"/>
      <c r="X236" s="7"/>
    </row>
    <row r="237" spans="15:24" x14ac:dyDescent="0.35">
      <c r="O237" s="7"/>
      <c r="P237" s="7"/>
      <c r="Q237" s="7"/>
      <c r="R237" s="7"/>
      <c r="S237" s="7"/>
      <c r="T237" s="7"/>
      <c r="U237" s="7"/>
      <c r="V237" s="7"/>
      <c r="W237" s="7"/>
      <c r="X237" s="7"/>
    </row>
    <row r="238" spans="15:24" x14ac:dyDescent="0.35">
      <c r="O238" s="7"/>
      <c r="P238" s="7"/>
      <c r="Q238" s="7"/>
      <c r="R238" s="7"/>
      <c r="S238" s="7"/>
      <c r="T238" s="7"/>
      <c r="U238" s="7"/>
      <c r="V238" s="7"/>
      <c r="W238" s="7"/>
      <c r="X238" s="7"/>
    </row>
    <row r="239" spans="15:24" x14ac:dyDescent="0.35">
      <c r="O239" s="7"/>
      <c r="P239" s="7"/>
      <c r="Q239" s="7"/>
      <c r="R239" s="7"/>
      <c r="S239" s="7"/>
      <c r="T239" s="7"/>
      <c r="U239" s="7"/>
      <c r="V239" s="7"/>
      <c r="W239" s="7"/>
      <c r="X239" s="7"/>
    </row>
    <row r="240" spans="15:24" x14ac:dyDescent="0.35">
      <c r="O240" s="7"/>
      <c r="P240" s="7"/>
      <c r="Q240" s="7"/>
      <c r="R240" s="7"/>
      <c r="S240" s="7"/>
      <c r="T240" s="7"/>
      <c r="U240" s="7"/>
      <c r="V240" s="7"/>
      <c r="W240" s="7"/>
      <c r="X240" s="7"/>
    </row>
    <row r="241" spans="15:24" x14ac:dyDescent="0.35">
      <c r="O241" s="7"/>
      <c r="P241" s="7"/>
      <c r="Q241" s="7"/>
      <c r="R241" s="7"/>
      <c r="S241" s="7"/>
      <c r="T241" s="7"/>
      <c r="U241" s="7"/>
      <c r="V241" s="7"/>
      <c r="W241" s="7"/>
      <c r="X241" s="7"/>
    </row>
    <row r="242" spans="15:24" x14ac:dyDescent="0.35">
      <c r="O242" s="7"/>
      <c r="P242" s="7"/>
      <c r="Q242" s="7"/>
      <c r="R242" s="7"/>
      <c r="S242" s="7"/>
      <c r="T242" s="7"/>
      <c r="U242" s="7"/>
      <c r="V242" s="7"/>
      <c r="W242" s="7"/>
      <c r="X242" s="7"/>
    </row>
    <row r="243" spans="15:24" x14ac:dyDescent="0.35">
      <c r="O243" s="7"/>
      <c r="P243" s="7"/>
      <c r="Q243" s="7"/>
      <c r="R243" s="7"/>
      <c r="S243" s="7"/>
      <c r="T243" s="7"/>
      <c r="U243" s="7"/>
      <c r="V243" s="7"/>
      <c r="W243" s="7"/>
      <c r="X243" s="7"/>
    </row>
    <row r="244" spans="15:24" x14ac:dyDescent="0.35">
      <c r="O244" s="7"/>
      <c r="P244" s="7"/>
      <c r="Q244" s="7"/>
      <c r="R244" s="7"/>
      <c r="S244" s="7"/>
      <c r="T244" s="7"/>
      <c r="U244" s="7"/>
      <c r="V244" s="7"/>
      <c r="W244" s="7"/>
      <c r="X244" s="7"/>
    </row>
    <row r="245" spans="15:24" x14ac:dyDescent="0.35">
      <c r="O245" s="7"/>
      <c r="P245" s="7"/>
      <c r="Q245" s="7"/>
      <c r="R245" s="7"/>
      <c r="S245" s="7"/>
      <c r="T245" s="7"/>
      <c r="U245" s="7"/>
      <c r="V245" s="7"/>
      <c r="W245" s="7"/>
      <c r="X245" s="7"/>
    </row>
    <row r="246" spans="15:24" x14ac:dyDescent="0.35">
      <c r="O246" s="7"/>
      <c r="P246" s="7"/>
      <c r="Q246" s="7"/>
      <c r="R246" s="7"/>
      <c r="S246" s="7"/>
      <c r="T246" s="7"/>
      <c r="U246" s="7"/>
      <c r="V246" s="7"/>
      <c r="W246" s="7"/>
      <c r="X246" s="7"/>
    </row>
    <row r="247" spans="15:24" x14ac:dyDescent="0.35">
      <c r="O247" s="7"/>
      <c r="P247" s="7"/>
      <c r="Q247" s="7"/>
      <c r="R247" s="7"/>
      <c r="S247" s="7"/>
      <c r="T247" s="7"/>
      <c r="U247" s="7"/>
      <c r="V247" s="7"/>
      <c r="W247" s="7"/>
      <c r="X247" s="7"/>
    </row>
    <row r="248" spans="15:24" x14ac:dyDescent="0.35">
      <c r="O248" s="7"/>
      <c r="P248" s="7"/>
      <c r="Q248" s="7"/>
      <c r="R248" s="7"/>
      <c r="S248" s="7"/>
      <c r="T248" s="7"/>
      <c r="U248" s="7"/>
      <c r="V248" s="7"/>
      <c r="W248" s="7"/>
      <c r="X248" s="7"/>
    </row>
    <row r="249" spans="15:24" x14ac:dyDescent="0.35">
      <c r="O249" s="7"/>
      <c r="P249" s="7"/>
      <c r="Q249" s="7"/>
      <c r="R249" s="7"/>
      <c r="S249" s="7"/>
      <c r="T249" s="7"/>
      <c r="U249" s="7"/>
      <c r="V249" s="7"/>
      <c r="W249" s="7"/>
      <c r="X249" s="7"/>
    </row>
    <row r="250" spans="15:24" x14ac:dyDescent="0.35">
      <c r="O250" s="7"/>
      <c r="P250" s="7"/>
      <c r="Q250" s="7"/>
      <c r="R250" s="7"/>
      <c r="S250" s="7"/>
      <c r="T250" s="7"/>
      <c r="U250" s="7"/>
      <c r="V250" s="7"/>
      <c r="W250" s="7"/>
      <c r="X250" s="7"/>
    </row>
    <row r="251" spans="15:24" x14ac:dyDescent="0.35">
      <c r="O251" s="7"/>
      <c r="P251" s="7"/>
      <c r="Q251" s="7"/>
      <c r="R251" s="7"/>
      <c r="S251" s="7"/>
      <c r="T251" s="7"/>
      <c r="U251" s="7"/>
      <c r="V251" s="7"/>
      <c r="W251" s="7"/>
      <c r="X251" s="7"/>
    </row>
    <row r="252" spans="15:24" x14ac:dyDescent="0.35">
      <c r="O252" s="7"/>
      <c r="P252" s="7"/>
      <c r="Q252" s="7"/>
      <c r="R252" s="7"/>
      <c r="S252" s="7"/>
      <c r="T252" s="7"/>
      <c r="U252" s="7"/>
      <c r="V252" s="7"/>
      <c r="W252" s="7"/>
      <c r="X252" s="7"/>
    </row>
    <row r="253" spans="15:24" x14ac:dyDescent="0.35">
      <c r="O253" s="7"/>
      <c r="P253" s="7"/>
      <c r="Q253" s="7"/>
      <c r="R253" s="7"/>
      <c r="S253" s="7"/>
      <c r="T253" s="7"/>
      <c r="U253" s="7"/>
      <c r="V253" s="7"/>
      <c r="W253" s="7"/>
      <c r="X253" s="7"/>
    </row>
    <row r="254" spans="15:24" x14ac:dyDescent="0.35">
      <c r="O254" s="7"/>
      <c r="P254" s="7"/>
      <c r="Q254" s="7"/>
      <c r="R254" s="7"/>
      <c r="S254" s="7"/>
      <c r="T254" s="7"/>
      <c r="U254" s="7"/>
      <c r="V254" s="7"/>
      <c r="W254" s="7"/>
      <c r="X254" s="7"/>
    </row>
    <row r="255" spans="15:24" x14ac:dyDescent="0.35">
      <c r="O255" s="7"/>
      <c r="P255" s="7"/>
      <c r="Q255" s="7"/>
      <c r="R255" s="7"/>
      <c r="S255" s="7"/>
      <c r="T255" s="7"/>
      <c r="U255" s="7"/>
      <c r="V255" s="7"/>
      <c r="W255" s="7"/>
      <c r="X255" s="7"/>
    </row>
    <row r="256" spans="15:24" x14ac:dyDescent="0.35">
      <c r="O256" s="7"/>
      <c r="P256" s="7"/>
      <c r="Q256" s="7"/>
      <c r="R256" s="7"/>
      <c r="S256" s="7"/>
      <c r="T256" s="7"/>
      <c r="U256" s="7"/>
      <c r="V256" s="7"/>
      <c r="W256" s="7"/>
      <c r="X256" s="7"/>
    </row>
    <row r="257" spans="15:24" x14ac:dyDescent="0.35">
      <c r="O257" s="7"/>
      <c r="P257" s="7"/>
      <c r="Q257" s="7"/>
      <c r="R257" s="7"/>
      <c r="S257" s="7"/>
      <c r="T257" s="7"/>
      <c r="U257" s="7"/>
      <c r="V257" s="7"/>
      <c r="W257" s="7"/>
      <c r="X257" s="7"/>
    </row>
    <row r="258" spans="15:24" x14ac:dyDescent="0.35">
      <c r="O258" s="7"/>
      <c r="P258" s="7"/>
      <c r="Q258" s="7"/>
      <c r="R258" s="7"/>
      <c r="S258" s="7"/>
      <c r="T258" s="7"/>
      <c r="U258" s="7"/>
      <c r="V258" s="7"/>
      <c r="W258" s="7"/>
      <c r="X258" s="7"/>
    </row>
    <row r="259" spans="15:24" x14ac:dyDescent="0.35">
      <c r="O259" s="7"/>
      <c r="P259" s="7"/>
      <c r="Q259" s="7"/>
      <c r="R259" s="7"/>
      <c r="S259" s="7"/>
      <c r="T259" s="7"/>
      <c r="U259" s="7"/>
      <c r="V259" s="7"/>
      <c r="W259" s="7"/>
      <c r="X259" s="7"/>
    </row>
    <row r="260" spans="15:24" x14ac:dyDescent="0.35">
      <c r="O260" s="7"/>
      <c r="P260" s="7"/>
      <c r="Q260" s="7"/>
      <c r="R260" s="7"/>
      <c r="S260" s="7"/>
      <c r="T260" s="7"/>
      <c r="U260" s="7"/>
      <c r="V260" s="7"/>
      <c r="W260" s="7"/>
      <c r="X260" s="7"/>
    </row>
    <row r="261" spans="15:24" x14ac:dyDescent="0.35">
      <c r="O261" s="7"/>
      <c r="P261" s="7"/>
      <c r="Q261" s="7"/>
      <c r="R261" s="7"/>
      <c r="S261" s="7"/>
      <c r="T261" s="7"/>
      <c r="U261" s="7"/>
      <c r="V261" s="7"/>
      <c r="W261" s="7"/>
      <c r="X261" s="7"/>
    </row>
    <row r="262" spans="15:24" x14ac:dyDescent="0.35">
      <c r="O262" s="7"/>
      <c r="P262" s="7"/>
      <c r="Q262" s="7"/>
      <c r="R262" s="7"/>
      <c r="S262" s="7"/>
      <c r="T262" s="7"/>
      <c r="U262" s="7"/>
      <c r="V262" s="7"/>
      <c r="W262" s="7"/>
      <c r="X262" s="7"/>
    </row>
    <row r="263" spans="15:24" x14ac:dyDescent="0.35">
      <c r="O263" s="7"/>
      <c r="P263" s="7"/>
      <c r="Q263" s="7"/>
      <c r="R263" s="7"/>
      <c r="S263" s="7"/>
      <c r="T263" s="7"/>
      <c r="U263" s="7"/>
      <c r="V263" s="7"/>
      <c r="W263" s="7"/>
      <c r="X263" s="7"/>
    </row>
    <row r="264" spans="15:24" x14ac:dyDescent="0.35">
      <c r="O264" s="7"/>
      <c r="P264" s="7"/>
      <c r="Q264" s="7"/>
      <c r="R264" s="7"/>
      <c r="S264" s="7"/>
      <c r="T264" s="7"/>
      <c r="U264" s="7"/>
      <c r="V264" s="7"/>
      <c r="W264" s="7"/>
      <c r="X264" s="7"/>
    </row>
    <row r="265" spans="15:24" x14ac:dyDescent="0.35">
      <c r="O265" s="7"/>
      <c r="P265" s="7"/>
      <c r="Q265" s="7"/>
      <c r="R265" s="7"/>
      <c r="S265" s="7"/>
      <c r="T265" s="7"/>
      <c r="U265" s="7"/>
      <c r="V265" s="7"/>
      <c r="W265" s="7"/>
      <c r="X265" s="7"/>
    </row>
    <row r="266" spans="15:24" x14ac:dyDescent="0.35">
      <c r="O266" s="7"/>
      <c r="P266" s="7"/>
      <c r="Q266" s="7"/>
      <c r="R266" s="7"/>
      <c r="S266" s="7"/>
      <c r="T266" s="7"/>
      <c r="U266" s="7"/>
      <c r="V266" s="7"/>
      <c r="W266" s="7"/>
      <c r="X266" s="7"/>
    </row>
  </sheetData>
  <mergeCells count="9">
    <mergeCell ref="Z118:AG118"/>
    <mergeCell ref="A19:H19"/>
    <mergeCell ref="A41:H41"/>
    <mergeCell ref="A3:H3"/>
    <mergeCell ref="A2:H2"/>
    <mergeCell ref="A25:H25"/>
    <mergeCell ref="A24:H24"/>
    <mergeCell ref="A42:H42"/>
    <mergeCell ref="Z117:AG1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workbookViewId="0"/>
  </sheetViews>
  <sheetFormatPr defaultRowHeight="14.5" x14ac:dyDescent="0.35"/>
  <cols>
    <col min="5" max="5" width="19.36328125" customWidth="1"/>
    <col min="6" max="6" width="8.7265625" customWidth="1"/>
    <col min="21" max="21" width="19.1796875" customWidth="1"/>
    <col min="22" max="22" width="10.7265625" customWidth="1"/>
    <col min="23" max="23" width="4.7265625" customWidth="1"/>
    <col min="24" max="24" width="10.7265625" customWidth="1"/>
    <col min="25" max="25" width="4.7265625" customWidth="1"/>
    <col min="26" max="26" width="10.7265625" customWidth="1"/>
    <col min="27" max="27" width="4.7265625" customWidth="1"/>
    <col min="28" max="28" width="10.7265625" customWidth="1"/>
    <col min="29" max="29" width="4.7265625" customWidth="1"/>
    <col min="30" max="30" width="10.7265625" customWidth="1"/>
    <col min="31" max="31" width="4.7265625" customWidth="1"/>
    <col min="32" max="32" width="10.7265625" customWidth="1"/>
  </cols>
  <sheetData>
    <row r="1" spans="1:17" x14ac:dyDescent="0.35">
      <c r="E1" s="68" t="s">
        <v>278</v>
      </c>
      <c r="F1" s="68"/>
      <c r="G1" s="68"/>
      <c r="H1" s="68"/>
      <c r="I1" s="68"/>
      <c r="J1" s="68"/>
      <c r="K1" s="68"/>
      <c r="L1" s="68"/>
      <c r="M1" s="68"/>
      <c r="N1" s="68"/>
      <c r="O1" s="68"/>
      <c r="P1" s="68"/>
      <c r="Q1" s="59"/>
    </row>
    <row r="2" spans="1:17" x14ac:dyDescent="0.35">
      <c r="E2" s="50" t="s">
        <v>84</v>
      </c>
      <c r="F2" s="51"/>
      <c r="G2" s="51"/>
      <c r="H2" s="51"/>
      <c r="I2" s="51"/>
      <c r="J2" s="51"/>
      <c r="K2" s="51"/>
      <c r="L2" s="51"/>
      <c r="M2" s="51"/>
      <c r="N2" s="51"/>
      <c r="O2" s="51"/>
      <c r="P2" s="52"/>
      <c r="Q2" s="56"/>
    </row>
    <row r="3" spans="1:17" ht="14.5" customHeight="1" x14ac:dyDescent="0.35">
      <c r="E3" s="54" t="s">
        <v>85</v>
      </c>
      <c r="F3" s="53" t="s">
        <v>90</v>
      </c>
      <c r="G3" s="53"/>
      <c r="H3" s="53" t="s">
        <v>90</v>
      </c>
      <c r="I3" s="53"/>
      <c r="J3" s="53" t="s">
        <v>90</v>
      </c>
      <c r="K3" s="53"/>
      <c r="L3" s="53" t="s">
        <v>90</v>
      </c>
      <c r="M3" s="53"/>
      <c r="N3" s="53" t="s">
        <v>90</v>
      </c>
      <c r="O3" s="53"/>
      <c r="P3" s="31" t="s">
        <v>90</v>
      </c>
    </row>
    <row r="4" spans="1:17" x14ac:dyDescent="0.35">
      <c r="E4" s="54" t="s">
        <v>86</v>
      </c>
      <c r="F4" s="26" t="s">
        <v>91</v>
      </c>
      <c r="G4" s="26"/>
      <c r="H4" s="26" t="s">
        <v>92</v>
      </c>
      <c r="I4" s="26"/>
      <c r="J4" s="26" t="s">
        <v>93</v>
      </c>
      <c r="K4" s="26"/>
      <c r="L4" s="26" t="s">
        <v>95</v>
      </c>
      <c r="M4" s="26"/>
      <c r="N4" s="26" t="s">
        <v>97</v>
      </c>
      <c r="O4" s="26"/>
      <c r="P4" s="31" t="s">
        <v>99</v>
      </c>
    </row>
    <row r="5" spans="1:17" x14ac:dyDescent="0.35">
      <c r="E5" s="54" t="s">
        <v>87</v>
      </c>
      <c r="F5" s="26" t="s">
        <v>90</v>
      </c>
      <c r="G5" s="26"/>
      <c r="H5" s="26" t="s">
        <v>90</v>
      </c>
      <c r="I5" s="26"/>
      <c r="J5" s="26" t="s">
        <v>94</v>
      </c>
      <c r="K5" s="26"/>
      <c r="L5" s="26" t="s">
        <v>96</v>
      </c>
      <c r="M5" s="26"/>
      <c r="N5" s="26" t="s">
        <v>98</v>
      </c>
      <c r="O5" s="26"/>
      <c r="P5" s="31" t="s">
        <v>100</v>
      </c>
    </row>
    <row r="6" spans="1:17" x14ac:dyDescent="0.35">
      <c r="E6" s="54" t="s">
        <v>88</v>
      </c>
      <c r="F6" s="26" t="s">
        <v>90</v>
      </c>
      <c r="G6" s="26"/>
      <c r="H6" s="26" t="s">
        <v>90</v>
      </c>
      <c r="I6" s="26"/>
      <c r="J6" s="26" t="s">
        <v>90</v>
      </c>
      <c r="K6" s="26"/>
      <c r="L6" s="26" t="s">
        <v>90</v>
      </c>
      <c r="M6" s="26"/>
      <c r="N6" s="26" t="s">
        <v>94</v>
      </c>
      <c r="O6" s="26"/>
      <c r="P6" s="31" t="s">
        <v>96</v>
      </c>
    </row>
    <row r="7" spans="1:17" x14ac:dyDescent="0.35">
      <c r="E7" s="54" t="s">
        <v>89</v>
      </c>
      <c r="F7" s="26" t="s">
        <v>90</v>
      </c>
      <c r="G7" s="26"/>
      <c r="H7" s="26" t="s">
        <v>90</v>
      </c>
      <c r="I7" s="26"/>
      <c r="J7" s="26" t="s">
        <v>90</v>
      </c>
      <c r="K7" s="26"/>
      <c r="L7" s="26" t="s">
        <v>90</v>
      </c>
      <c r="M7" s="26"/>
      <c r="N7" s="26" t="s">
        <v>90</v>
      </c>
      <c r="O7" s="26"/>
      <c r="P7" s="31" t="s">
        <v>90</v>
      </c>
    </row>
    <row r="8" spans="1:17" ht="42.5" x14ac:dyDescent="0.35">
      <c r="E8" s="20"/>
      <c r="F8" s="21" t="s">
        <v>48</v>
      </c>
      <c r="G8" s="21"/>
      <c r="H8" s="21" t="s">
        <v>49</v>
      </c>
      <c r="I8" s="21"/>
      <c r="J8" s="21" t="s">
        <v>50</v>
      </c>
      <c r="K8" s="21"/>
      <c r="L8" s="21" t="s">
        <v>51</v>
      </c>
      <c r="M8" s="21"/>
      <c r="N8" s="21" t="s">
        <v>52</v>
      </c>
      <c r="O8" s="21"/>
      <c r="P8" s="32" t="s">
        <v>53</v>
      </c>
      <c r="Q8" s="56"/>
    </row>
    <row r="9" spans="1:17" ht="14.5" customHeight="1" x14ac:dyDescent="0.35">
      <c r="E9" s="70" t="s">
        <v>101</v>
      </c>
      <c r="F9" s="70"/>
      <c r="G9" s="70"/>
      <c r="H9" s="70"/>
      <c r="I9" s="70"/>
      <c r="J9" s="70"/>
      <c r="K9" s="70"/>
      <c r="L9" s="70"/>
      <c r="M9" s="70"/>
      <c r="N9" s="70"/>
      <c r="O9" s="70"/>
      <c r="P9" s="70"/>
      <c r="Q9" s="57"/>
    </row>
    <row r="11" spans="1:17" x14ac:dyDescent="0.35">
      <c r="A11" t="s">
        <v>281</v>
      </c>
    </row>
    <row r="13" spans="1:17" x14ac:dyDescent="0.35">
      <c r="A13" t="s">
        <v>0</v>
      </c>
      <c r="B13" t="s">
        <v>1</v>
      </c>
      <c r="C13" t="s">
        <v>17</v>
      </c>
      <c r="D13" t="s">
        <v>20</v>
      </c>
      <c r="E13" t="s">
        <v>15</v>
      </c>
      <c r="F13" t="s">
        <v>16</v>
      </c>
      <c r="G13" t="s">
        <v>18</v>
      </c>
      <c r="H13" t="s">
        <v>19</v>
      </c>
      <c r="I13" t="s">
        <v>2</v>
      </c>
      <c r="J13" t="s">
        <v>3</v>
      </c>
      <c r="K13" t="s">
        <v>4</v>
      </c>
    </row>
    <row r="14" spans="1:17" x14ac:dyDescent="0.35">
      <c r="A14">
        <v>1379</v>
      </c>
      <c r="B14" t="s">
        <v>23</v>
      </c>
      <c r="C14">
        <f>H14+(F14*1000)</f>
        <v>2731</v>
      </c>
      <c r="D14">
        <v>1964</v>
      </c>
      <c r="E14" t="s">
        <v>8</v>
      </c>
      <c r="F14">
        <v>2</v>
      </c>
      <c r="G14" t="s">
        <v>9</v>
      </c>
      <c r="H14">
        <v>731</v>
      </c>
      <c r="I14">
        <v>3</v>
      </c>
      <c r="J14">
        <v>17</v>
      </c>
      <c r="K14">
        <v>4</v>
      </c>
    </row>
    <row r="15" spans="1:17" x14ac:dyDescent="0.35">
      <c r="A15">
        <v>1379</v>
      </c>
      <c r="B15" t="s">
        <v>23</v>
      </c>
      <c r="C15">
        <f>H15+(F15*1000)</f>
        <v>731732</v>
      </c>
      <c r="D15">
        <v>1964</v>
      </c>
      <c r="E15" t="s">
        <v>9</v>
      </c>
      <c r="F15">
        <v>731</v>
      </c>
      <c r="G15" t="s">
        <v>5</v>
      </c>
      <c r="H15">
        <v>732</v>
      </c>
      <c r="I15">
        <v>3</v>
      </c>
      <c r="J15">
        <v>17</v>
      </c>
      <c r="K15">
        <v>4</v>
      </c>
    </row>
    <row r="16" spans="1:17" x14ac:dyDescent="0.35">
      <c r="A16">
        <v>2905</v>
      </c>
      <c r="B16" t="s">
        <v>23</v>
      </c>
      <c r="C16">
        <f>H16+(F16*1000)</f>
        <v>732740</v>
      </c>
      <c r="D16">
        <v>1964</v>
      </c>
      <c r="E16" t="s">
        <v>5</v>
      </c>
      <c r="F16">
        <v>732</v>
      </c>
      <c r="G16" t="s">
        <v>6</v>
      </c>
      <c r="H16">
        <v>740</v>
      </c>
      <c r="I16">
        <v>0</v>
      </c>
      <c r="J16">
        <v>15</v>
      </c>
      <c r="K16">
        <v>4</v>
      </c>
    </row>
    <row r="17" spans="1:11" x14ac:dyDescent="0.35">
      <c r="A17">
        <v>2916</v>
      </c>
      <c r="B17" t="s">
        <v>23</v>
      </c>
      <c r="C17">
        <f t="shared" ref="C17:C21" si="0">H17+(F17*1000)</f>
        <v>2731</v>
      </c>
      <c r="D17">
        <v>1965</v>
      </c>
      <c r="E17" t="s">
        <v>8</v>
      </c>
      <c r="F17">
        <v>2</v>
      </c>
      <c r="G17" t="s">
        <v>9</v>
      </c>
      <c r="H17">
        <v>731</v>
      </c>
      <c r="I17">
        <v>0</v>
      </c>
      <c r="J17">
        <v>16</v>
      </c>
      <c r="K17">
        <v>4</v>
      </c>
    </row>
    <row r="18" spans="1:11" x14ac:dyDescent="0.35">
      <c r="A18">
        <v>2919</v>
      </c>
      <c r="B18" t="s">
        <v>23</v>
      </c>
      <c r="C18">
        <f t="shared" si="0"/>
        <v>732740</v>
      </c>
      <c r="D18">
        <v>1966</v>
      </c>
      <c r="E18" t="s">
        <v>5</v>
      </c>
      <c r="F18">
        <v>732</v>
      </c>
      <c r="G18" t="s">
        <v>6</v>
      </c>
      <c r="H18">
        <v>740</v>
      </c>
      <c r="I18">
        <v>0</v>
      </c>
      <c r="J18">
        <v>15</v>
      </c>
      <c r="K18">
        <v>4</v>
      </c>
    </row>
    <row r="19" spans="1:11" x14ac:dyDescent="0.35">
      <c r="A19">
        <v>2920</v>
      </c>
      <c r="B19" t="s">
        <v>23</v>
      </c>
      <c r="C19">
        <f t="shared" si="0"/>
        <v>710732</v>
      </c>
      <c r="D19">
        <v>1966</v>
      </c>
      <c r="E19" t="s">
        <v>7</v>
      </c>
      <c r="F19">
        <v>710</v>
      </c>
      <c r="G19" t="s">
        <v>5</v>
      </c>
      <c r="H19">
        <v>732</v>
      </c>
      <c r="I19">
        <v>0</v>
      </c>
      <c r="J19">
        <v>15</v>
      </c>
      <c r="K19">
        <v>4</v>
      </c>
    </row>
    <row r="20" spans="1:11" x14ac:dyDescent="0.35">
      <c r="A20">
        <v>2930</v>
      </c>
      <c r="B20" t="s">
        <v>23</v>
      </c>
      <c r="C20">
        <f t="shared" si="0"/>
        <v>365732</v>
      </c>
      <c r="D20">
        <v>1967</v>
      </c>
      <c r="E20" t="s">
        <v>10</v>
      </c>
      <c r="F20">
        <v>365</v>
      </c>
      <c r="G20" t="s">
        <v>5</v>
      </c>
      <c r="H20">
        <v>732</v>
      </c>
      <c r="I20">
        <v>0</v>
      </c>
      <c r="J20">
        <v>16</v>
      </c>
      <c r="K20">
        <v>4</v>
      </c>
    </row>
    <row r="21" spans="1:11" x14ac:dyDescent="0.35">
      <c r="A21">
        <v>347</v>
      </c>
      <c r="C21">
        <f t="shared" si="0"/>
        <v>2731</v>
      </c>
      <c r="D21">
        <v>1968</v>
      </c>
      <c r="E21" t="s">
        <v>8</v>
      </c>
      <c r="F21">
        <v>2</v>
      </c>
      <c r="G21" t="s">
        <v>9</v>
      </c>
      <c r="H21">
        <v>731</v>
      </c>
      <c r="I21">
        <v>0</v>
      </c>
      <c r="J21">
        <v>15</v>
      </c>
      <c r="K21">
        <v>4</v>
      </c>
    </row>
    <row r="23" spans="1:11" x14ac:dyDescent="0.35">
      <c r="A23">
        <v>2191</v>
      </c>
      <c r="B23" t="s">
        <v>23</v>
      </c>
      <c r="C23">
        <f t="shared" ref="C23:C27" si="1">H23+(F23*1000)</f>
        <v>731732</v>
      </c>
      <c r="D23">
        <v>1974</v>
      </c>
      <c r="E23" t="s">
        <v>9</v>
      </c>
      <c r="F23">
        <v>731</v>
      </c>
      <c r="G23" t="s">
        <v>5</v>
      </c>
      <c r="H23">
        <v>732</v>
      </c>
      <c r="I23">
        <v>1</v>
      </c>
      <c r="J23">
        <v>16</v>
      </c>
      <c r="K23">
        <v>4</v>
      </c>
    </row>
    <row r="24" spans="1:11" x14ac:dyDescent="0.35">
      <c r="A24">
        <v>1472</v>
      </c>
      <c r="B24" t="s">
        <v>23</v>
      </c>
      <c r="C24">
        <f t="shared" si="1"/>
        <v>731732</v>
      </c>
      <c r="D24">
        <v>1975</v>
      </c>
      <c r="E24" t="s">
        <v>9</v>
      </c>
      <c r="F24">
        <v>731</v>
      </c>
      <c r="G24" t="s">
        <v>5</v>
      </c>
      <c r="H24">
        <v>732</v>
      </c>
      <c r="I24">
        <v>1</v>
      </c>
      <c r="J24">
        <v>17</v>
      </c>
      <c r="K24">
        <v>4</v>
      </c>
    </row>
    <row r="25" spans="1:11" x14ac:dyDescent="0.35">
      <c r="A25">
        <v>362</v>
      </c>
      <c r="B25" t="s">
        <v>23</v>
      </c>
      <c r="C25">
        <f t="shared" si="1"/>
        <v>731732</v>
      </c>
      <c r="D25">
        <v>1976</v>
      </c>
      <c r="E25" t="s">
        <v>9</v>
      </c>
      <c r="F25">
        <v>731</v>
      </c>
      <c r="G25" t="s">
        <v>5</v>
      </c>
      <c r="H25">
        <v>732</v>
      </c>
      <c r="I25">
        <v>1</v>
      </c>
      <c r="J25">
        <v>17</v>
      </c>
      <c r="K25">
        <v>4</v>
      </c>
    </row>
    <row r="26" spans="1:11" x14ac:dyDescent="0.35">
      <c r="A26">
        <v>2956</v>
      </c>
      <c r="B26" t="s">
        <v>23</v>
      </c>
      <c r="C26">
        <f t="shared" si="1"/>
        <v>710732</v>
      </c>
      <c r="D26">
        <v>1976</v>
      </c>
      <c r="E26" t="s">
        <v>7</v>
      </c>
      <c r="F26">
        <v>710</v>
      </c>
      <c r="G26" t="s">
        <v>5</v>
      </c>
      <c r="H26">
        <v>732</v>
      </c>
      <c r="I26">
        <v>0</v>
      </c>
      <c r="J26">
        <v>15</v>
      </c>
      <c r="K26">
        <v>4</v>
      </c>
    </row>
    <row r="27" spans="1:11" x14ac:dyDescent="0.35">
      <c r="A27">
        <v>2960</v>
      </c>
      <c r="B27" t="s">
        <v>23</v>
      </c>
      <c r="C27">
        <f t="shared" si="1"/>
        <v>2731</v>
      </c>
      <c r="D27">
        <v>1976</v>
      </c>
      <c r="E27" t="s">
        <v>8</v>
      </c>
      <c r="F27">
        <v>2</v>
      </c>
      <c r="G27" t="s">
        <v>9</v>
      </c>
      <c r="H27">
        <v>731</v>
      </c>
      <c r="I27">
        <v>0</v>
      </c>
      <c r="J27">
        <v>12</v>
      </c>
      <c r="K27">
        <v>3</v>
      </c>
    </row>
    <row r="29" spans="1:11" x14ac:dyDescent="0.35">
      <c r="A29">
        <v>4125</v>
      </c>
      <c r="B29" t="s">
        <v>23</v>
      </c>
      <c r="C29">
        <f t="shared" ref="C29:C44" si="2">H29+(F29*1000)</f>
        <v>2731</v>
      </c>
      <c r="D29">
        <v>1999</v>
      </c>
      <c r="E29" t="s">
        <v>8</v>
      </c>
      <c r="F29">
        <v>2</v>
      </c>
      <c r="G29" t="s">
        <v>9</v>
      </c>
      <c r="H29">
        <v>731</v>
      </c>
      <c r="I29">
        <v>0</v>
      </c>
      <c r="J29">
        <v>7</v>
      </c>
      <c r="K29">
        <v>3</v>
      </c>
    </row>
    <row r="30" spans="1:11" x14ac:dyDescent="0.35">
      <c r="A30">
        <v>4127</v>
      </c>
      <c r="B30" t="s">
        <v>23</v>
      </c>
      <c r="C30">
        <f t="shared" si="2"/>
        <v>732732</v>
      </c>
      <c r="D30">
        <v>1999</v>
      </c>
      <c r="E30" t="s">
        <v>5</v>
      </c>
      <c r="F30">
        <v>732</v>
      </c>
      <c r="G30" t="s">
        <v>6</v>
      </c>
      <c r="H30">
        <v>732</v>
      </c>
      <c r="I30">
        <v>0</v>
      </c>
      <c r="J30">
        <v>15</v>
      </c>
      <c r="K30">
        <v>4</v>
      </c>
    </row>
    <row r="31" spans="1:11" x14ac:dyDescent="0.35">
      <c r="A31">
        <v>4225</v>
      </c>
      <c r="B31" t="s">
        <v>23</v>
      </c>
      <c r="C31">
        <f t="shared" si="2"/>
        <v>731740</v>
      </c>
      <c r="D31">
        <v>1999</v>
      </c>
      <c r="E31" t="s">
        <v>9</v>
      </c>
      <c r="F31">
        <v>731</v>
      </c>
      <c r="G31" t="s">
        <v>6</v>
      </c>
      <c r="H31">
        <v>740</v>
      </c>
      <c r="I31">
        <v>0</v>
      </c>
      <c r="J31">
        <v>12</v>
      </c>
      <c r="K31">
        <v>3</v>
      </c>
    </row>
    <row r="32" spans="1:11" x14ac:dyDescent="0.35">
      <c r="A32">
        <v>4322</v>
      </c>
      <c r="B32" t="s">
        <v>23</v>
      </c>
      <c r="C32">
        <f t="shared" si="2"/>
        <v>731740</v>
      </c>
      <c r="D32">
        <v>1999</v>
      </c>
      <c r="E32" t="s">
        <v>9</v>
      </c>
      <c r="F32">
        <v>731</v>
      </c>
      <c r="G32" t="s">
        <v>6</v>
      </c>
      <c r="H32">
        <v>740</v>
      </c>
      <c r="I32">
        <v>0</v>
      </c>
      <c r="J32">
        <v>8</v>
      </c>
      <c r="K32">
        <v>3</v>
      </c>
    </row>
    <row r="33" spans="1:11" x14ac:dyDescent="0.35">
      <c r="A33">
        <v>4218</v>
      </c>
      <c r="B33" t="s">
        <v>23</v>
      </c>
      <c r="C33">
        <f t="shared" si="2"/>
        <v>2731</v>
      </c>
      <c r="D33">
        <v>2000</v>
      </c>
      <c r="E33" t="s">
        <v>8</v>
      </c>
      <c r="F33">
        <v>2</v>
      </c>
      <c r="G33" t="s">
        <v>9</v>
      </c>
      <c r="H33">
        <v>731</v>
      </c>
      <c r="I33">
        <v>0</v>
      </c>
      <c r="J33">
        <v>1</v>
      </c>
      <c r="K33">
        <v>2</v>
      </c>
    </row>
    <row r="34" spans="1:11" x14ac:dyDescent="0.35">
      <c r="A34">
        <v>4218</v>
      </c>
      <c r="B34" t="s">
        <v>23</v>
      </c>
      <c r="C34">
        <f t="shared" si="2"/>
        <v>731732</v>
      </c>
      <c r="D34">
        <v>2000</v>
      </c>
      <c r="E34" t="s">
        <v>9</v>
      </c>
      <c r="F34">
        <v>731</v>
      </c>
      <c r="G34" t="s">
        <v>5</v>
      </c>
      <c r="H34">
        <v>732</v>
      </c>
      <c r="I34">
        <v>0</v>
      </c>
      <c r="J34">
        <v>1</v>
      </c>
      <c r="K34">
        <v>2</v>
      </c>
    </row>
    <row r="35" spans="1:11" x14ac:dyDescent="0.35">
      <c r="A35">
        <v>4266</v>
      </c>
      <c r="B35" t="s">
        <v>23</v>
      </c>
      <c r="C35">
        <f t="shared" si="2"/>
        <v>731740</v>
      </c>
      <c r="D35">
        <v>2001</v>
      </c>
      <c r="E35" t="s">
        <v>9</v>
      </c>
      <c r="F35">
        <v>731</v>
      </c>
      <c r="G35" t="s">
        <v>6</v>
      </c>
      <c r="H35">
        <v>740</v>
      </c>
      <c r="I35">
        <v>1</v>
      </c>
      <c r="J35">
        <v>17</v>
      </c>
      <c r="K35">
        <v>4</v>
      </c>
    </row>
    <row r="36" spans="1:11" x14ac:dyDescent="0.35">
      <c r="A36">
        <v>4282</v>
      </c>
      <c r="B36" t="s">
        <v>23</v>
      </c>
      <c r="C36">
        <f t="shared" si="2"/>
        <v>731732</v>
      </c>
      <c r="D36">
        <v>2001</v>
      </c>
      <c r="E36" t="s">
        <v>9</v>
      </c>
      <c r="F36">
        <v>731</v>
      </c>
      <c r="G36" t="s">
        <v>5</v>
      </c>
      <c r="H36">
        <v>732</v>
      </c>
      <c r="I36">
        <v>1</v>
      </c>
      <c r="J36">
        <v>17</v>
      </c>
      <c r="K36">
        <v>4</v>
      </c>
    </row>
    <row r="37" spans="1:11" x14ac:dyDescent="0.35">
      <c r="A37">
        <v>4447</v>
      </c>
      <c r="B37" t="s">
        <v>23</v>
      </c>
      <c r="C37">
        <f t="shared" si="2"/>
        <v>710732</v>
      </c>
      <c r="D37">
        <v>2002</v>
      </c>
      <c r="E37" t="s">
        <v>7</v>
      </c>
      <c r="F37">
        <v>710</v>
      </c>
      <c r="G37" t="s">
        <v>5</v>
      </c>
      <c r="H37">
        <v>732</v>
      </c>
      <c r="I37">
        <v>0</v>
      </c>
      <c r="J37">
        <v>12</v>
      </c>
      <c r="K37">
        <v>3</v>
      </c>
    </row>
    <row r="38" spans="1:11" x14ac:dyDescent="0.35">
      <c r="A38">
        <v>4449</v>
      </c>
      <c r="B38" t="s">
        <v>23</v>
      </c>
      <c r="C38">
        <f t="shared" si="2"/>
        <v>731740</v>
      </c>
      <c r="D38">
        <v>2002</v>
      </c>
      <c r="E38" t="s">
        <v>9</v>
      </c>
      <c r="F38">
        <v>731</v>
      </c>
      <c r="G38" t="s">
        <v>6</v>
      </c>
      <c r="H38">
        <v>740</v>
      </c>
      <c r="I38">
        <v>0</v>
      </c>
      <c r="J38">
        <v>7</v>
      </c>
      <c r="K38">
        <v>3</v>
      </c>
    </row>
    <row r="39" spans="1:11" x14ac:dyDescent="0.35">
      <c r="A39">
        <v>4451</v>
      </c>
      <c r="B39" t="s">
        <v>23</v>
      </c>
      <c r="C39">
        <f t="shared" si="2"/>
        <v>2731</v>
      </c>
      <c r="D39">
        <v>2002</v>
      </c>
      <c r="E39" t="s">
        <v>8</v>
      </c>
      <c r="F39">
        <v>2</v>
      </c>
      <c r="G39" t="s">
        <v>26</v>
      </c>
      <c r="H39">
        <v>731</v>
      </c>
      <c r="I39">
        <v>0</v>
      </c>
      <c r="J39">
        <v>15</v>
      </c>
      <c r="K39">
        <v>4</v>
      </c>
    </row>
    <row r="40" spans="1:11" x14ac:dyDescent="0.35">
      <c r="A40">
        <v>4451</v>
      </c>
      <c r="B40" t="s">
        <v>23</v>
      </c>
      <c r="C40">
        <f t="shared" si="2"/>
        <v>230731</v>
      </c>
      <c r="D40">
        <v>2002</v>
      </c>
      <c r="E40" t="s">
        <v>14</v>
      </c>
      <c r="F40">
        <v>230</v>
      </c>
      <c r="G40" t="s">
        <v>26</v>
      </c>
      <c r="H40">
        <v>731</v>
      </c>
      <c r="I40">
        <v>0</v>
      </c>
      <c r="J40">
        <v>15</v>
      </c>
      <c r="K40">
        <v>4</v>
      </c>
    </row>
    <row r="41" spans="1:11" x14ac:dyDescent="0.35">
      <c r="A41">
        <v>4455</v>
      </c>
      <c r="B41" t="s">
        <v>23</v>
      </c>
      <c r="C41">
        <f t="shared" si="2"/>
        <v>2731</v>
      </c>
      <c r="D41">
        <v>2003</v>
      </c>
      <c r="E41" t="s">
        <v>8</v>
      </c>
      <c r="F41">
        <v>2</v>
      </c>
      <c r="G41" t="s">
        <v>9</v>
      </c>
      <c r="H41">
        <v>731</v>
      </c>
      <c r="I41">
        <v>0</v>
      </c>
      <c r="J41">
        <v>7</v>
      </c>
      <c r="K41">
        <v>3</v>
      </c>
    </row>
    <row r="42" spans="1:11" x14ac:dyDescent="0.35">
      <c r="A42">
        <v>4456</v>
      </c>
      <c r="B42" t="s">
        <v>23</v>
      </c>
      <c r="C42">
        <f t="shared" si="2"/>
        <v>731740</v>
      </c>
      <c r="D42">
        <v>2003</v>
      </c>
      <c r="E42" t="s">
        <v>9</v>
      </c>
      <c r="F42">
        <v>731</v>
      </c>
      <c r="G42" t="s">
        <v>6</v>
      </c>
      <c r="H42">
        <v>740</v>
      </c>
      <c r="I42">
        <v>0</v>
      </c>
      <c r="J42">
        <v>15</v>
      </c>
      <c r="K42">
        <v>4</v>
      </c>
    </row>
    <row r="43" spans="1:11" x14ac:dyDescent="0.35">
      <c r="A43">
        <v>4459</v>
      </c>
      <c r="B43" t="s">
        <v>23</v>
      </c>
      <c r="C43">
        <f t="shared" si="2"/>
        <v>230732</v>
      </c>
      <c r="D43">
        <v>2003</v>
      </c>
      <c r="E43" t="s">
        <v>14</v>
      </c>
      <c r="F43">
        <v>230</v>
      </c>
      <c r="G43" t="s">
        <v>5</v>
      </c>
      <c r="H43">
        <v>732</v>
      </c>
      <c r="I43">
        <v>0</v>
      </c>
      <c r="J43">
        <v>15</v>
      </c>
      <c r="K43">
        <v>4</v>
      </c>
    </row>
    <row r="44" spans="1:11" x14ac:dyDescent="0.35">
      <c r="A44">
        <v>4463</v>
      </c>
      <c r="B44" t="s">
        <v>23</v>
      </c>
      <c r="C44">
        <f t="shared" si="2"/>
        <v>710731</v>
      </c>
      <c r="D44">
        <v>2003</v>
      </c>
      <c r="E44" t="s">
        <v>7</v>
      </c>
      <c r="F44">
        <v>710</v>
      </c>
      <c r="G44" t="s">
        <v>9</v>
      </c>
      <c r="H44">
        <v>731</v>
      </c>
      <c r="I44">
        <v>0</v>
      </c>
      <c r="J44">
        <v>11</v>
      </c>
      <c r="K44">
        <v>3</v>
      </c>
    </row>
    <row r="46" spans="1:11" x14ac:dyDescent="0.35">
      <c r="A46">
        <v>4476</v>
      </c>
      <c r="B46" t="s">
        <v>23</v>
      </c>
      <c r="C46">
        <f t="shared" ref="C46:C51" si="3">H46+(F46*1000)</f>
        <v>732740</v>
      </c>
      <c r="D46">
        <v>2006</v>
      </c>
      <c r="E46" t="s">
        <v>5</v>
      </c>
      <c r="F46">
        <v>732</v>
      </c>
      <c r="G46" t="s">
        <v>6</v>
      </c>
      <c r="H46">
        <v>740</v>
      </c>
      <c r="I46">
        <v>0</v>
      </c>
      <c r="J46">
        <v>7</v>
      </c>
      <c r="K46">
        <v>3</v>
      </c>
    </row>
    <row r="47" spans="1:11" x14ac:dyDescent="0.35">
      <c r="A47">
        <v>4479</v>
      </c>
      <c r="B47" t="s">
        <v>23</v>
      </c>
      <c r="C47">
        <f t="shared" si="3"/>
        <v>731732</v>
      </c>
      <c r="D47">
        <v>2007</v>
      </c>
      <c r="E47" t="s">
        <v>9</v>
      </c>
      <c r="F47">
        <v>731</v>
      </c>
      <c r="G47" t="s">
        <v>5</v>
      </c>
      <c r="H47">
        <v>732</v>
      </c>
      <c r="I47">
        <v>0</v>
      </c>
      <c r="J47">
        <v>1</v>
      </c>
      <c r="K47">
        <v>2</v>
      </c>
    </row>
    <row r="48" spans="1:11" x14ac:dyDescent="0.35">
      <c r="A48">
        <v>4481</v>
      </c>
      <c r="B48" t="s">
        <v>23</v>
      </c>
      <c r="C48">
        <f t="shared" si="3"/>
        <v>731732</v>
      </c>
      <c r="D48">
        <v>2008</v>
      </c>
      <c r="E48" t="s">
        <v>9</v>
      </c>
      <c r="F48">
        <v>731</v>
      </c>
      <c r="G48" t="s">
        <v>5</v>
      </c>
      <c r="H48">
        <v>732</v>
      </c>
      <c r="I48">
        <v>0</v>
      </c>
      <c r="J48">
        <v>7</v>
      </c>
      <c r="K48">
        <v>3</v>
      </c>
    </row>
    <row r="49" spans="1:13" x14ac:dyDescent="0.35">
      <c r="A49">
        <v>4483</v>
      </c>
      <c r="B49" t="s">
        <v>23</v>
      </c>
      <c r="C49">
        <f t="shared" si="3"/>
        <v>731732</v>
      </c>
      <c r="D49">
        <v>2009</v>
      </c>
      <c r="E49" t="s">
        <v>9</v>
      </c>
      <c r="F49">
        <v>731</v>
      </c>
      <c r="G49" t="s">
        <v>5</v>
      </c>
      <c r="H49">
        <v>732</v>
      </c>
      <c r="I49">
        <v>2</v>
      </c>
      <c r="J49">
        <v>17</v>
      </c>
      <c r="K49">
        <v>4</v>
      </c>
    </row>
    <row r="50" spans="1:13" x14ac:dyDescent="0.35">
      <c r="A50">
        <v>4490</v>
      </c>
      <c r="B50" t="s">
        <v>23</v>
      </c>
      <c r="C50">
        <f t="shared" si="3"/>
        <v>710731</v>
      </c>
      <c r="D50">
        <v>2010</v>
      </c>
      <c r="E50" t="s">
        <v>7</v>
      </c>
      <c r="F50">
        <v>710</v>
      </c>
      <c r="G50" t="s">
        <v>9</v>
      </c>
      <c r="H50">
        <v>731</v>
      </c>
      <c r="I50">
        <v>0</v>
      </c>
      <c r="J50">
        <v>16</v>
      </c>
      <c r="K50">
        <v>4</v>
      </c>
    </row>
    <row r="51" spans="1:13" x14ac:dyDescent="0.35">
      <c r="A51">
        <v>4493</v>
      </c>
      <c r="B51" t="s">
        <v>23</v>
      </c>
      <c r="C51">
        <f t="shared" si="3"/>
        <v>710732</v>
      </c>
      <c r="D51">
        <v>2010</v>
      </c>
      <c r="E51" t="s">
        <v>7</v>
      </c>
      <c r="F51">
        <v>710</v>
      </c>
      <c r="G51" t="s">
        <v>5</v>
      </c>
      <c r="H51">
        <v>732</v>
      </c>
      <c r="I51">
        <v>0</v>
      </c>
      <c r="J51">
        <v>7</v>
      </c>
      <c r="K51">
        <v>3</v>
      </c>
    </row>
    <row r="58" spans="1:13" ht="15" customHeight="1" x14ac:dyDescent="0.35"/>
    <row r="59" spans="1:13" x14ac:dyDescent="0.35">
      <c r="A59">
        <v>5</v>
      </c>
      <c r="B59">
        <v>0</v>
      </c>
      <c r="C59">
        <v>0</v>
      </c>
      <c r="D59">
        <v>0</v>
      </c>
      <c r="E59">
        <v>0</v>
      </c>
      <c r="F59">
        <v>0</v>
      </c>
      <c r="G59">
        <v>0</v>
      </c>
      <c r="H59">
        <v>0</v>
      </c>
      <c r="I59">
        <v>0</v>
      </c>
      <c r="J59">
        <v>0</v>
      </c>
      <c r="K59">
        <v>0</v>
      </c>
      <c r="L59">
        <v>0</v>
      </c>
      <c r="M59">
        <v>0</v>
      </c>
    </row>
    <row r="60" spans="1:13" x14ac:dyDescent="0.35">
      <c r="A60">
        <v>4</v>
      </c>
      <c r="B60">
        <v>1</v>
      </c>
      <c r="C60">
        <v>0</v>
      </c>
      <c r="D60">
        <v>4</v>
      </c>
      <c r="E60">
        <v>1</v>
      </c>
      <c r="F60">
        <v>8</v>
      </c>
      <c r="G60">
        <v>4</v>
      </c>
      <c r="H60">
        <v>2</v>
      </c>
      <c r="I60">
        <v>0</v>
      </c>
      <c r="J60">
        <v>6</v>
      </c>
      <c r="K60">
        <v>0</v>
      </c>
      <c r="L60">
        <v>7</v>
      </c>
      <c r="M60">
        <v>2</v>
      </c>
    </row>
    <row r="61" spans="1:13" x14ac:dyDescent="0.35">
      <c r="A61">
        <v>3</v>
      </c>
      <c r="B61">
        <v>0</v>
      </c>
      <c r="C61">
        <v>0</v>
      </c>
      <c r="D61">
        <v>0</v>
      </c>
      <c r="E61">
        <v>0</v>
      </c>
      <c r="F61">
        <v>0</v>
      </c>
      <c r="G61">
        <v>1</v>
      </c>
      <c r="H61">
        <v>2</v>
      </c>
      <c r="I61">
        <v>1</v>
      </c>
      <c r="J61">
        <v>4</v>
      </c>
      <c r="K61">
        <v>2</v>
      </c>
      <c r="L61">
        <v>7</v>
      </c>
      <c r="M61">
        <v>3</v>
      </c>
    </row>
    <row r="62" spans="1:13" x14ac:dyDescent="0.35">
      <c r="A62">
        <v>2</v>
      </c>
      <c r="B62">
        <v>0</v>
      </c>
      <c r="C62">
        <v>0</v>
      </c>
      <c r="D62">
        <v>0</v>
      </c>
      <c r="E62">
        <v>0</v>
      </c>
      <c r="F62">
        <v>0</v>
      </c>
      <c r="G62">
        <v>0</v>
      </c>
      <c r="H62">
        <v>0</v>
      </c>
      <c r="I62">
        <v>0</v>
      </c>
      <c r="J62">
        <v>0</v>
      </c>
      <c r="K62">
        <v>1</v>
      </c>
      <c r="L62">
        <v>2</v>
      </c>
      <c r="M62">
        <v>1</v>
      </c>
    </row>
    <row r="63" spans="1:13" ht="28.5" customHeight="1" x14ac:dyDescent="0.35">
      <c r="A63">
        <v>1</v>
      </c>
      <c r="B63">
        <v>0</v>
      </c>
      <c r="C63">
        <v>0</v>
      </c>
      <c r="D63">
        <v>0</v>
      </c>
      <c r="E63">
        <v>0</v>
      </c>
      <c r="F63">
        <v>0</v>
      </c>
      <c r="G63">
        <v>0</v>
      </c>
      <c r="H63">
        <v>0</v>
      </c>
      <c r="I63">
        <v>0</v>
      </c>
      <c r="J63">
        <v>0</v>
      </c>
      <c r="K63">
        <v>0</v>
      </c>
      <c r="L63">
        <v>0</v>
      </c>
      <c r="M63">
        <v>0</v>
      </c>
    </row>
    <row r="64" spans="1:13" x14ac:dyDescent="0.35">
      <c r="B64" t="s">
        <v>79</v>
      </c>
      <c r="C64" t="s">
        <v>80</v>
      </c>
      <c r="D64" t="s">
        <v>79</v>
      </c>
      <c r="E64" t="s">
        <v>80</v>
      </c>
      <c r="F64" t="s">
        <v>79</v>
      </c>
      <c r="G64" t="s">
        <v>80</v>
      </c>
      <c r="H64" t="s">
        <v>79</v>
      </c>
      <c r="I64" t="s">
        <v>80</v>
      </c>
      <c r="J64" t="s">
        <v>79</v>
      </c>
      <c r="K64" t="s">
        <v>80</v>
      </c>
      <c r="L64" t="s">
        <v>79</v>
      </c>
      <c r="M64" t="s">
        <v>80</v>
      </c>
    </row>
    <row r="65" spans="1:13" x14ac:dyDescent="0.35">
      <c r="B65" t="s">
        <v>77</v>
      </c>
      <c r="C65" t="s">
        <v>77</v>
      </c>
      <c r="D65" t="s">
        <v>77</v>
      </c>
      <c r="E65" t="s">
        <v>77</v>
      </c>
      <c r="F65" t="s">
        <v>77</v>
      </c>
      <c r="G65" t="s">
        <v>77</v>
      </c>
      <c r="H65" t="s">
        <v>83</v>
      </c>
      <c r="I65" t="s">
        <v>83</v>
      </c>
      <c r="J65" t="s">
        <v>83</v>
      </c>
      <c r="K65" t="s">
        <v>83</v>
      </c>
      <c r="L65" t="s">
        <v>83</v>
      </c>
      <c r="M65" t="s">
        <v>83</v>
      </c>
    </row>
    <row r="66" spans="1:13" x14ac:dyDescent="0.35">
      <c r="B66" t="s">
        <v>78</v>
      </c>
      <c r="C66" t="s">
        <v>78</v>
      </c>
      <c r="D66" t="s">
        <v>81</v>
      </c>
      <c r="E66" t="s">
        <v>81</v>
      </c>
      <c r="F66" t="s">
        <v>82</v>
      </c>
      <c r="G66" t="s">
        <v>82</v>
      </c>
      <c r="H66" t="s">
        <v>78</v>
      </c>
      <c r="I66" t="s">
        <v>78</v>
      </c>
      <c r="J66" t="s">
        <v>81</v>
      </c>
      <c r="K66" t="s">
        <v>81</v>
      </c>
      <c r="L66" t="s">
        <v>82</v>
      </c>
      <c r="M66" t="s">
        <v>82</v>
      </c>
    </row>
    <row r="70" spans="1:13" x14ac:dyDescent="0.35">
      <c r="A70" t="s">
        <v>102</v>
      </c>
    </row>
    <row r="72" spans="1:13" x14ac:dyDescent="0.35">
      <c r="C72" s="2" t="s">
        <v>54</v>
      </c>
      <c r="D72" s="2" t="s">
        <v>55</v>
      </c>
    </row>
    <row r="73" spans="1:13" x14ac:dyDescent="0.35">
      <c r="A73" s="2" t="s">
        <v>48</v>
      </c>
      <c r="B73" s="2"/>
      <c r="C73" s="22">
        <f>AVERAGE(K21)</f>
        <v>4</v>
      </c>
      <c r="D73" s="22" t="s">
        <v>23</v>
      </c>
    </row>
    <row r="74" spans="1:13" x14ac:dyDescent="0.35">
      <c r="A74" s="2" t="s">
        <v>49</v>
      </c>
      <c r="B74" s="2"/>
      <c r="C74" s="22">
        <f>AVERAGE(K18:K21)</f>
        <v>4</v>
      </c>
      <c r="D74" s="22">
        <f>AVERAGE(K23)</f>
        <v>4</v>
      </c>
    </row>
    <row r="75" spans="1:13" x14ac:dyDescent="0.35">
      <c r="A75" s="2" t="s">
        <v>50</v>
      </c>
      <c r="B75" s="2"/>
      <c r="C75" s="22">
        <f>AVERAGE(K14:K21)</f>
        <v>4</v>
      </c>
      <c r="D75" s="22">
        <f>AVERAGE(K23:K27)</f>
        <v>3.8</v>
      </c>
    </row>
    <row r="76" spans="1:13" x14ac:dyDescent="0.35">
      <c r="A76" s="2" t="s">
        <v>51</v>
      </c>
      <c r="B76" s="2"/>
      <c r="C76" s="22">
        <f>AVERAGE(K41:K44)</f>
        <v>3.5</v>
      </c>
      <c r="D76" s="22">
        <f>AVERAGE(K46)</f>
        <v>3</v>
      </c>
    </row>
    <row r="77" spans="1:13" x14ac:dyDescent="0.35">
      <c r="A77" s="2" t="s">
        <v>52</v>
      </c>
      <c r="B77" s="2"/>
      <c r="C77" s="22">
        <f>AVERAGE(K35:K44)</f>
        <v>3.6</v>
      </c>
      <c r="D77" s="22">
        <f>AVERAGE(K46:K48)</f>
        <v>2.6666666666666665</v>
      </c>
    </row>
    <row r="78" spans="1:13" x14ac:dyDescent="0.35">
      <c r="A78" s="2" t="s">
        <v>53</v>
      </c>
      <c r="B78" s="2"/>
      <c r="C78" s="22">
        <f>AVERAGE(K29:K44)</f>
        <v>3.3125</v>
      </c>
      <c r="D78" s="22">
        <f>AVERAGE(K46:K51)</f>
        <v>3.1666666666666665</v>
      </c>
    </row>
  </sheetData>
  <mergeCells count="2">
    <mergeCell ref="E1:Q1"/>
    <mergeCell ref="E9:P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C1"/>
    </sheetView>
  </sheetViews>
  <sheetFormatPr defaultRowHeight="14.5" x14ac:dyDescent="0.35"/>
  <cols>
    <col min="1" max="3" width="30.6328125" style="39" customWidth="1"/>
  </cols>
  <sheetData>
    <row r="1" spans="1:4" x14ac:dyDescent="0.35">
      <c r="A1" s="71" t="s">
        <v>268</v>
      </c>
      <c r="B1" s="72"/>
      <c r="C1" s="73"/>
      <c r="D1" s="7"/>
    </row>
    <row r="2" spans="1:4" x14ac:dyDescent="0.35">
      <c r="A2" s="40" t="s">
        <v>269</v>
      </c>
      <c r="B2" s="41" t="s">
        <v>261</v>
      </c>
      <c r="C2" s="42" t="s">
        <v>260</v>
      </c>
      <c r="D2" s="7"/>
    </row>
    <row r="3" spans="1:4" x14ac:dyDescent="0.35">
      <c r="A3" s="43" t="s">
        <v>256</v>
      </c>
      <c r="B3" s="44" t="s">
        <v>262</v>
      </c>
      <c r="C3" s="45" t="s">
        <v>262</v>
      </c>
      <c r="D3" s="7"/>
    </row>
    <row r="4" spans="1:4" x14ac:dyDescent="0.35">
      <c r="A4" s="43"/>
      <c r="B4" s="44"/>
      <c r="C4" s="45"/>
      <c r="D4" s="7"/>
    </row>
    <row r="5" spans="1:4" x14ac:dyDescent="0.35">
      <c r="A5" s="46" t="s">
        <v>270</v>
      </c>
      <c r="B5" s="44"/>
      <c r="C5" s="45"/>
      <c r="D5" s="7"/>
    </row>
    <row r="6" spans="1:4" x14ac:dyDescent="0.35">
      <c r="A6" s="43" t="s">
        <v>258</v>
      </c>
      <c r="B6" s="44" t="s">
        <v>271</v>
      </c>
      <c r="C6" s="45" t="s">
        <v>266</v>
      </c>
      <c r="D6" s="7"/>
    </row>
    <row r="7" spans="1:4" x14ac:dyDescent="0.35">
      <c r="A7" s="43" t="s">
        <v>257</v>
      </c>
      <c r="B7" s="44" t="s">
        <v>267</v>
      </c>
      <c r="C7" s="45" t="s">
        <v>265</v>
      </c>
      <c r="D7" s="7"/>
    </row>
    <row r="8" spans="1:4" x14ac:dyDescent="0.35">
      <c r="A8" s="47" t="s">
        <v>259</v>
      </c>
      <c r="B8" s="21" t="s">
        <v>263</v>
      </c>
      <c r="C8" s="32" t="s">
        <v>264</v>
      </c>
      <c r="D8" s="7"/>
    </row>
    <row r="9" spans="1:4" x14ac:dyDescent="0.35">
      <c r="A9" s="48"/>
      <c r="B9" s="48"/>
      <c r="C9" s="48"/>
      <c r="D9" s="7"/>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workbookViewId="0"/>
  </sheetViews>
  <sheetFormatPr defaultRowHeight="14.5" x14ac:dyDescent="0.35"/>
  <sheetData>
    <row r="1" spans="1:17" x14ac:dyDescent="0.35">
      <c r="A1" t="s">
        <v>0</v>
      </c>
      <c r="B1" t="s">
        <v>1</v>
      </c>
      <c r="C1" t="s">
        <v>17</v>
      </c>
      <c r="D1" t="s">
        <v>20</v>
      </c>
      <c r="E1" t="s">
        <v>15</v>
      </c>
      <c r="F1" t="s">
        <v>16</v>
      </c>
      <c r="G1" t="s">
        <v>18</v>
      </c>
      <c r="H1" t="s">
        <v>19</v>
      </c>
      <c r="I1" t="s">
        <v>2</v>
      </c>
      <c r="J1" t="s">
        <v>3</v>
      </c>
      <c r="K1" t="s">
        <v>4</v>
      </c>
      <c r="L1" t="s">
        <v>21</v>
      </c>
      <c r="M1" t="s">
        <v>22</v>
      </c>
      <c r="N1" t="s">
        <v>24</v>
      </c>
      <c r="O1" t="s">
        <v>25</v>
      </c>
      <c r="P1" t="s">
        <v>62</v>
      </c>
      <c r="Q1" t="s">
        <v>63</v>
      </c>
    </row>
    <row r="2" spans="1:17" x14ac:dyDescent="0.35">
      <c r="A2">
        <v>1346</v>
      </c>
      <c r="B2" t="s">
        <v>23</v>
      </c>
      <c r="C2">
        <f>H2+(F2*1000)</f>
        <v>732740</v>
      </c>
      <c r="D2">
        <v>1955</v>
      </c>
      <c r="E2" t="s">
        <v>5</v>
      </c>
      <c r="F2">
        <v>732</v>
      </c>
      <c r="G2" t="s">
        <v>6</v>
      </c>
      <c r="H2">
        <v>740</v>
      </c>
      <c r="I2">
        <v>0</v>
      </c>
      <c r="J2">
        <v>15</v>
      </c>
      <c r="K2">
        <v>4</v>
      </c>
      <c r="L2">
        <v>1</v>
      </c>
      <c r="M2">
        <v>0</v>
      </c>
      <c r="N2" t="s">
        <v>23</v>
      </c>
      <c r="O2">
        <v>1</v>
      </c>
      <c r="P2">
        <v>1</v>
      </c>
      <c r="Q2">
        <v>0</v>
      </c>
    </row>
    <row r="3" spans="1:17" x14ac:dyDescent="0.35">
      <c r="A3">
        <v>3213</v>
      </c>
      <c r="B3" t="s">
        <v>23</v>
      </c>
      <c r="C3">
        <f t="shared" ref="C3:C56" si="0">H3+(F3*1000)</f>
        <v>710732</v>
      </c>
      <c r="D3">
        <v>1955</v>
      </c>
      <c r="E3" t="s">
        <v>7</v>
      </c>
      <c r="F3">
        <v>710</v>
      </c>
      <c r="G3" t="s">
        <v>5</v>
      </c>
      <c r="H3">
        <v>732</v>
      </c>
      <c r="I3">
        <v>0</v>
      </c>
      <c r="J3">
        <v>17</v>
      </c>
      <c r="K3">
        <v>4</v>
      </c>
      <c r="L3">
        <v>1</v>
      </c>
      <c r="M3">
        <v>0</v>
      </c>
      <c r="N3" t="s">
        <v>23</v>
      </c>
      <c r="O3">
        <v>0</v>
      </c>
      <c r="P3">
        <v>1</v>
      </c>
      <c r="Q3">
        <v>0</v>
      </c>
    </row>
    <row r="4" spans="1:17" x14ac:dyDescent="0.35">
      <c r="A4">
        <v>1347</v>
      </c>
      <c r="B4" t="s">
        <v>23</v>
      </c>
      <c r="C4">
        <f t="shared" si="0"/>
        <v>732740</v>
      </c>
      <c r="D4">
        <v>1958</v>
      </c>
      <c r="E4" t="s">
        <v>5</v>
      </c>
      <c r="F4">
        <v>732</v>
      </c>
      <c r="G4" t="s">
        <v>6</v>
      </c>
      <c r="H4">
        <v>740</v>
      </c>
      <c r="I4">
        <v>0</v>
      </c>
      <c r="J4">
        <v>15</v>
      </c>
      <c r="K4">
        <v>4</v>
      </c>
      <c r="L4">
        <v>1</v>
      </c>
      <c r="M4">
        <v>0</v>
      </c>
      <c r="N4" t="s">
        <v>23</v>
      </c>
      <c r="O4">
        <v>1</v>
      </c>
      <c r="P4">
        <v>1</v>
      </c>
      <c r="Q4">
        <v>0</v>
      </c>
    </row>
    <row r="5" spans="1:17" x14ac:dyDescent="0.35">
      <c r="A5">
        <v>2187</v>
      </c>
      <c r="B5" t="s">
        <v>23</v>
      </c>
      <c r="C5">
        <f t="shared" si="0"/>
        <v>2731</v>
      </c>
      <c r="D5">
        <v>1958</v>
      </c>
      <c r="E5" t="s">
        <v>8</v>
      </c>
      <c r="F5">
        <v>2</v>
      </c>
      <c r="G5" t="s">
        <v>9</v>
      </c>
      <c r="H5">
        <v>731</v>
      </c>
      <c r="I5">
        <v>1</v>
      </c>
      <c r="J5">
        <v>17</v>
      </c>
      <c r="K5">
        <v>4</v>
      </c>
      <c r="L5">
        <v>0</v>
      </c>
      <c r="M5">
        <v>1</v>
      </c>
      <c r="N5">
        <v>1</v>
      </c>
      <c r="O5" t="s">
        <v>23</v>
      </c>
      <c r="P5">
        <v>0</v>
      </c>
      <c r="Q5">
        <v>1</v>
      </c>
    </row>
    <row r="6" spans="1:17" x14ac:dyDescent="0.35">
      <c r="A6">
        <v>2187</v>
      </c>
      <c r="B6" t="s">
        <v>23</v>
      </c>
      <c r="C6">
        <f t="shared" si="0"/>
        <v>731732</v>
      </c>
      <c r="D6">
        <v>1958</v>
      </c>
      <c r="E6" t="s">
        <v>9</v>
      </c>
      <c r="F6">
        <v>731</v>
      </c>
      <c r="G6" t="s">
        <v>5</v>
      </c>
      <c r="H6">
        <v>732</v>
      </c>
      <c r="I6">
        <v>1</v>
      </c>
      <c r="J6">
        <v>17</v>
      </c>
      <c r="K6">
        <v>4</v>
      </c>
      <c r="L6">
        <v>1</v>
      </c>
      <c r="M6">
        <v>0</v>
      </c>
      <c r="N6">
        <v>1</v>
      </c>
      <c r="O6">
        <v>0</v>
      </c>
      <c r="P6">
        <v>1</v>
      </c>
      <c r="Q6">
        <v>1</v>
      </c>
    </row>
    <row r="7" spans="1:17" x14ac:dyDescent="0.35">
      <c r="A7">
        <v>1709</v>
      </c>
      <c r="B7" t="s">
        <v>23</v>
      </c>
      <c r="C7">
        <f t="shared" si="0"/>
        <v>365732</v>
      </c>
      <c r="D7">
        <v>1959</v>
      </c>
      <c r="E7" t="s">
        <v>10</v>
      </c>
      <c r="F7">
        <v>365</v>
      </c>
      <c r="G7" t="s">
        <v>5</v>
      </c>
      <c r="H7">
        <v>732</v>
      </c>
      <c r="I7">
        <v>1</v>
      </c>
      <c r="J7">
        <v>16</v>
      </c>
      <c r="K7">
        <v>4</v>
      </c>
      <c r="L7">
        <v>0</v>
      </c>
      <c r="M7">
        <v>1</v>
      </c>
      <c r="N7" t="s">
        <v>23</v>
      </c>
      <c r="O7">
        <v>1</v>
      </c>
      <c r="P7">
        <v>1</v>
      </c>
      <c r="Q7">
        <v>0</v>
      </c>
    </row>
    <row r="8" spans="1:17" x14ac:dyDescent="0.35">
      <c r="A8">
        <v>2838</v>
      </c>
      <c r="B8" t="s">
        <v>23</v>
      </c>
      <c r="C8">
        <f t="shared" si="0"/>
        <v>732740</v>
      </c>
      <c r="D8">
        <v>1959</v>
      </c>
      <c r="E8" t="s">
        <v>5</v>
      </c>
      <c r="F8">
        <v>732</v>
      </c>
      <c r="G8" t="s">
        <v>6</v>
      </c>
      <c r="H8">
        <v>740</v>
      </c>
      <c r="I8">
        <v>0</v>
      </c>
      <c r="J8">
        <v>8</v>
      </c>
      <c r="K8">
        <v>3</v>
      </c>
      <c r="L8">
        <v>1</v>
      </c>
      <c r="M8">
        <v>0</v>
      </c>
      <c r="N8" t="s">
        <v>23</v>
      </c>
      <c r="O8">
        <v>1</v>
      </c>
      <c r="P8">
        <v>1</v>
      </c>
      <c r="Q8">
        <v>0</v>
      </c>
    </row>
    <row r="9" spans="1:17" x14ac:dyDescent="0.35">
      <c r="A9">
        <v>2839</v>
      </c>
      <c r="B9" t="s">
        <v>23</v>
      </c>
      <c r="C9">
        <f t="shared" si="0"/>
        <v>732740</v>
      </c>
      <c r="D9">
        <v>1959</v>
      </c>
      <c r="E9" t="s">
        <v>5</v>
      </c>
      <c r="F9">
        <v>732</v>
      </c>
      <c r="G9" t="s">
        <v>6</v>
      </c>
      <c r="H9">
        <v>740</v>
      </c>
      <c r="I9">
        <v>0</v>
      </c>
      <c r="J9">
        <v>16</v>
      </c>
      <c r="K9">
        <v>4</v>
      </c>
      <c r="L9">
        <v>1</v>
      </c>
      <c r="M9">
        <v>0</v>
      </c>
      <c r="N9" t="s">
        <v>23</v>
      </c>
      <c r="O9">
        <v>1</v>
      </c>
      <c r="P9">
        <v>1</v>
      </c>
      <c r="Q9">
        <v>0</v>
      </c>
    </row>
    <row r="10" spans="1:17" x14ac:dyDescent="0.35">
      <c r="A10">
        <v>1710</v>
      </c>
      <c r="B10" t="s">
        <v>23</v>
      </c>
      <c r="C10">
        <f t="shared" si="0"/>
        <v>710732</v>
      </c>
      <c r="D10">
        <v>1960</v>
      </c>
      <c r="E10" t="s">
        <v>7</v>
      </c>
      <c r="F10">
        <v>710</v>
      </c>
      <c r="G10" t="s">
        <v>5</v>
      </c>
      <c r="H10">
        <v>732</v>
      </c>
      <c r="I10">
        <v>1</v>
      </c>
      <c r="J10">
        <v>17</v>
      </c>
      <c r="K10">
        <v>4</v>
      </c>
      <c r="L10">
        <v>1</v>
      </c>
      <c r="M10">
        <v>0</v>
      </c>
      <c r="N10" t="s">
        <v>23</v>
      </c>
      <c r="O10">
        <v>0</v>
      </c>
      <c r="P10">
        <v>1</v>
      </c>
      <c r="Q10">
        <v>0</v>
      </c>
    </row>
    <row r="11" spans="1:17" x14ac:dyDescent="0.35">
      <c r="A11">
        <v>2874</v>
      </c>
      <c r="B11" t="s">
        <v>23</v>
      </c>
      <c r="C11">
        <f t="shared" si="0"/>
        <v>732740</v>
      </c>
      <c r="D11">
        <v>1960</v>
      </c>
      <c r="E11" t="s">
        <v>5</v>
      </c>
      <c r="F11">
        <v>732</v>
      </c>
      <c r="G11" t="s">
        <v>6</v>
      </c>
      <c r="H11">
        <v>740</v>
      </c>
      <c r="I11">
        <v>0</v>
      </c>
      <c r="J11">
        <v>16</v>
      </c>
      <c r="K11">
        <v>4</v>
      </c>
      <c r="L11">
        <v>1</v>
      </c>
      <c r="M11">
        <v>0</v>
      </c>
      <c r="N11" t="s">
        <v>23</v>
      </c>
      <c r="O11">
        <v>1</v>
      </c>
      <c r="P11">
        <v>1</v>
      </c>
      <c r="Q11">
        <v>0</v>
      </c>
    </row>
    <row r="12" spans="1:17" x14ac:dyDescent="0.35">
      <c r="A12">
        <v>1349</v>
      </c>
      <c r="B12" t="s">
        <v>23</v>
      </c>
      <c r="C12">
        <f t="shared" si="0"/>
        <v>732740</v>
      </c>
      <c r="D12">
        <v>1961</v>
      </c>
      <c r="E12" t="s">
        <v>5</v>
      </c>
      <c r="F12">
        <v>732</v>
      </c>
      <c r="G12" t="s">
        <v>6</v>
      </c>
      <c r="H12">
        <v>740</v>
      </c>
      <c r="I12">
        <v>0</v>
      </c>
      <c r="J12">
        <v>15</v>
      </c>
      <c r="K12">
        <v>4</v>
      </c>
      <c r="L12">
        <v>1</v>
      </c>
      <c r="M12">
        <v>0</v>
      </c>
      <c r="N12" t="s">
        <v>23</v>
      </c>
      <c r="O12">
        <v>1</v>
      </c>
      <c r="P12">
        <v>1</v>
      </c>
      <c r="Q12">
        <v>0</v>
      </c>
    </row>
    <row r="13" spans="1:17" x14ac:dyDescent="0.35">
      <c r="A13">
        <v>3310</v>
      </c>
      <c r="B13" t="s">
        <v>23</v>
      </c>
      <c r="C13">
        <f t="shared" si="0"/>
        <v>732740</v>
      </c>
      <c r="D13">
        <v>1961</v>
      </c>
      <c r="E13" t="s">
        <v>5</v>
      </c>
      <c r="F13">
        <v>732</v>
      </c>
      <c r="G13" t="s">
        <v>6</v>
      </c>
      <c r="H13">
        <v>740</v>
      </c>
      <c r="I13">
        <v>0</v>
      </c>
      <c r="J13">
        <v>15</v>
      </c>
      <c r="K13">
        <v>4</v>
      </c>
      <c r="L13">
        <v>1</v>
      </c>
      <c r="M13">
        <v>0</v>
      </c>
      <c r="N13" t="s">
        <v>23</v>
      </c>
      <c r="O13">
        <v>1</v>
      </c>
      <c r="P13">
        <v>1</v>
      </c>
      <c r="Q13">
        <v>0</v>
      </c>
    </row>
    <row r="14" spans="1:17" x14ac:dyDescent="0.35">
      <c r="A14">
        <v>2188</v>
      </c>
      <c r="B14" t="s">
        <v>23</v>
      </c>
      <c r="C14">
        <f t="shared" si="0"/>
        <v>731731</v>
      </c>
      <c r="D14">
        <v>1962</v>
      </c>
      <c r="E14" t="s">
        <v>8</v>
      </c>
      <c r="F14">
        <v>731</v>
      </c>
      <c r="G14" t="s">
        <v>9</v>
      </c>
      <c r="H14">
        <v>731</v>
      </c>
      <c r="I14">
        <v>1</v>
      </c>
      <c r="J14">
        <v>17</v>
      </c>
      <c r="K14">
        <v>4</v>
      </c>
      <c r="L14">
        <v>0</v>
      </c>
      <c r="M14">
        <v>1</v>
      </c>
      <c r="N14">
        <v>1</v>
      </c>
      <c r="O14" t="s">
        <v>23</v>
      </c>
      <c r="P14">
        <v>0</v>
      </c>
      <c r="Q14">
        <v>1</v>
      </c>
    </row>
    <row r="15" spans="1:17" x14ac:dyDescent="0.35">
      <c r="A15">
        <v>2188</v>
      </c>
      <c r="B15" t="s">
        <v>23</v>
      </c>
      <c r="C15">
        <f t="shared" si="0"/>
        <v>731732</v>
      </c>
      <c r="D15">
        <v>1962</v>
      </c>
      <c r="E15" t="s">
        <v>9</v>
      </c>
      <c r="F15">
        <v>731</v>
      </c>
      <c r="G15" t="s">
        <v>5</v>
      </c>
      <c r="H15">
        <v>732</v>
      </c>
      <c r="I15">
        <v>1</v>
      </c>
      <c r="J15">
        <v>17</v>
      </c>
      <c r="K15">
        <v>4</v>
      </c>
      <c r="L15">
        <v>1</v>
      </c>
      <c r="M15">
        <v>0</v>
      </c>
      <c r="N15">
        <v>1</v>
      </c>
      <c r="O15">
        <v>0</v>
      </c>
      <c r="P15">
        <v>1</v>
      </c>
      <c r="Q15">
        <v>1</v>
      </c>
    </row>
    <row r="16" spans="1:17" x14ac:dyDescent="0.35">
      <c r="A16">
        <v>2889</v>
      </c>
      <c r="B16" t="s">
        <v>23</v>
      </c>
      <c r="C16">
        <f t="shared" si="0"/>
        <v>732740</v>
      </c>
      <c r="D16">
        <v>1962</v>
      </c>
      <c r="E16" t="s">
        <v>5</v>
      </c>
      <c r="F16">
        <v>732</v>
      </c>
      <c r="G16" t="s">
        <v>6</v>
      </c>
      <c r="H16">
        <v>740</v>
      </c>
      <c r="I16">
        <v>0</v>
      </c>
      <c r="J16">
        <v>15</v>
      </c>
      <c r="K16">
        <v>4</v>
      </c>
      <c r="L16">
        <v>1</v>
      </c>
      <c r="M16">
        <v>0</v>
      </c>
      <c r="N16" t="s">
        <v>23</v>
      </c>
      <c r="O16">
        <v>1</v>
      </c>
      <c r="P16">
        <v>1</v>
      </c>
      <c r="Q16">
        <v>0</v>
      </c>
    </row>
    <row r="17" spans="1:17" x14ac:dyDescent="0.35">
      <c r="A17">
        <v>2189</v>
      </c>
      <c r="B17" t="s">
        <v>23</v>
      </c>
      <c r="C17">
        <f t="shared" si="0"/>
        <v>2731</v>
      </c>
      <c r="D17">
        <v>1963</v>
      </c>
      <c r="E17" t="s">
        <v>8</v>
      </c>
      <c r="F17">
        <v>2</v>
      </c>
      <c r="G17" t="s">
        <v>9</v>
      </c>
      <c r="H17">
        <v>731</v>
      </c>
      <c r="I17">
        <v>1</v>
      </c>
      <c r="J17">
        <v>17</v>
      </c>
      <c r="K17">
        <v>4</v>
      </c>
      <c r="L17">
        <v>0</v>
      </c>
      <c r="M17">
        <v>1</v>
      </c>
      <c r="N17">
        <v>1</v>
      </c>
      <c r="O17" t="s">
        <v>23</v>
      </c>
      <c r="P17">
        <v>0</v>
      </c>
      <c r="Q17">
        <v>1</v>
      </c>
    </row>
    <row r="18" spans="1:17" x14ac:dyDescent="0.35">
      <c r="A18">
        <v>2189</v>
      </c>
      <c r="B18" t="s">
        <v>23</v>
      </c>
      <c r="C18">
        <f t="shared" si="0"/>
        <v>731732</v>
      </c>
      <c r="D18">
        <v>1963</v>
      </c>
      <c r="E18" t="s">
        <v>9</v>
      </c>
      <c r="F18">
        <v>731</v>
      </c>
      <c r="G18" t="s">
        <v>5</v>
      </c>
      <c r="H18">
        <v>732</v>
      </c>
      <c r="I18">
        <v>1</v>
      </c>
      <c r="J18">
        <v>17</v>
      </c>
      <c r="K18">
        <v>4</v>
      </c>
      <c r="L18">
        <v>1</v>
      </c>
      <c r="M18">
        <v>0</v>
      </c>
      <c r="N18">
        <v>1</v>
      </c>
      <c r="O18">
        <v>0</v>
      </c>
      <c r="P18">
        <v>1</v>
      </c>
      <c r="Q18">
        <v>1</v>
      </c>
    </row>
    <row r="19" spans="1:17" x14ac:dyDescent="0.35">
      <c r="A19">
        <v>2895</v>
      </c>
      <c r="B19" t="s">
        <v>23</v>
      </c>
      <c r="C19">
        <f t="shared" si="0"/>
        <v>732740</v>
      </c>
      <c r="D19">
        <v>1963</v>
      </c>
      <c r="E19" t="s">
        <v>5</v>
      </c>
      <c r="F19">
        <v>732</v>
      </c>
      <c r="G19" t="s">
        <v>6</v>
      </c>
      <c r="H19">
        <v>740</v>
      </c>
      <c r="I19">
        <v>0</v>
      </c>
      <c r="J19">
        <v>15</v>
      </c>
      <c r="K19">
        <v>4</v>
      </c>
      <c r="L19">
        <v>1</v>
      </c>
      <c r="M19">
        <v>0</v>
      </c>
      <c r="N19" t="s">
        <v>23</v>
      </c>
      <c r="O19">
        <v>1</v>
      </c>
      <c r="P19">
        <v>1</v>
      </c>
      <c r="Q19">
        <v>0</v>
      </c>
    </row>
    <row r="20" spans="1:17" x14ac:dyDescent="0.35">
      <c r="A20">
        <v>1379</v>
      </c>
      <c r="B20" t="s">
        <v>23</v>
      </c>
      <c r="C20">
        <f>H20+(F20*1000)</f>
        <v>2731</v>
      </c>
      <c r="D20">
        <v>1964</v>
      </c>
      <c r="E20" t="s">
        <v>8</v>
      </c>
      <c r="F20">
        <v>2</v>
      </c>
      <c r="G20" t="s">
        <v>9</v>
      </c>
      <c r="H20">
        <v>731</v>
      </c>
      <c r="I20">
        <v>3</v>
      </c>
      <c r="J20">
        <v>17</v>
      </c>
      <c r="K20">
        <v>4</v>
      </c>
      <c r="L20">
        <v>1</v>
      </c>
      <c r="M20">
        <v>0</v>
      </c>
      <c r="N20">
        <v>0</v>
      </c>
      <c r="O20" t="s">
        <v>23</v>
      </c>
      <c r="P20">
        <v>0</v>
      </c>
      <c r="Q20">
        <v>1</v>
      </c>
    </row>
    <row r="21" spans="1:17" x14ac:dyDescent="0.35">
      <c r="A21">
        <v>1379</v>
      </c>
      <c r="B21" t="s">
        <v>23</v>
      </c>
      <c r="C21">
        <f>H21+(F21*1000)</f>
        <v>731732</v>
      </c>
      <c r="D21">
        <v>1964</v>
      </c>
      <c r="E21" t="s">
        <v>9</v>
      </c>
      <c r="F21">
        <v>731</v>
      </c>
      <c r="G21" t="s">
        <v>5</v>
      </c>
      <c r="H21">
        <v>732</v>
      </c>
      <c r="I21">
        <v>3</v>
      </c>
      <c r="J21">
        <v>17</v>
      </c>
      <c r="K21">
        <v>4</v>
      </c>
      <c r="L21">
        <v>0</v>
      </c>
      <c r="M21">
        <v>1</v>
      </c>
      <c r="N21">
        <v>0</v>
      </c>
      <c r="O21">
        <v>1</v>
      </c>
      <c r="P21">
        <v>1</v>
      </c>
      <c r="Q21">
        <v>1</v>
      </c>
    </row>
    <row r="22" spans="1:17" x14ac:dyDescent="0.35">
      <c r="A22">
        <v>2905</v>
      </c>
      <c r="B22" t="s">
        <v>23</v>
      </c>
      <c r="C22">
        <f>H22+(F22*1000)</f>
        <v>732740</v>
      </c>
      <c r="D22">
        <v>1964</v>
      </c>
      <c r="E22" t="s">
        <v>5</v>
      </c>
      <c r="F22">
        <v>732</v>
      </c>
      <c r="G22" t="s">
        <v>6</v>
      </c>
      <c r="H22">
        <v>740</v>
      </c>
      <c r="I22">
        <v>0</v>
      </c>
      <c r="J22">
        <v>15</v>
      </c>
      <c r="K22">
        <v>4</v>
      </c>
      <c r="L22">
        <v>1</v>
      </c>
      <c r="M22">
        <v>0</v>
      </c>
      <c r="N22" t="s">
        <v>23</v>
      </c>
      <c r="O22">
        <v>1</v>
      </c>
      <c r="P22">
        <v>1</v>
      </c>
      <c r="Q22">
        <v>0</v>
      </c>
    </row>
    <row r="23" spans="1:17" x14ac:dyDescent="0.35">
      <c r="A23">
        <v>2916</v>
      </c>
      <c r="B23" t="s">
        <v>23</v>
      </c>
      <c r="C23">
        <f t="shared" si="0"/>
        <v>2731</v>
      </c>
      <c r="D23">
        <v>1965</v>
      </c>
      <c r="E23" t="s">
        <v>8</v>
      </c>
      <c r="F23">
        <v>2</v>
      </c>
      <c r="G23" t="s">
        <v>9</v>
      </c>
      <c r="H23">
        <v>731</v>
      </c>
      <c r="I23">
        <v>0</v>
      </c>
      <c r="J23">
        <v>16</v>
      </c>
      <c r="K23">
        <v>4</v>
      </c>
      <c r="L23">
        <v>0</v>
      </c>
      <c r="M23">
        <v>1</v>
      </c>
      <c r="N23">
        <v>1</v>
      </c>
      <c r="O23" t="s">
        <v>23</v>
      </c>
      <c r="P23">
        <v>0</v>
      </c>
      <c r="Q23">
        <v>1</v>
      </c>
    </row>
    <row r="24" spans="1:17" x14ac:dyDescent="0.35">
      <c r="A24">
        <v>2919</v>
      </c>
      <c r="B24" t="s">
        <v>23</v>
      </c>
      <c r="C24">
        <f t="shared" si="0"/>
        <v>732740</v>
      </c>
      <c r="D24">
        <v>1966</v>
      </c>
      <c r="E24" t="s">
        <v>5</v>
      </c>
      <c r="F24">
        <v>732</v>
      </c>
      <c r="G24" t="s">
        <v>6</v>
      </c>
      <c r="H24">
        <v>740</v>
      </c>
      <c r="I24">
        <v>0</v>
      </c>
      <c r="J24">
        <v>15</v>
      </c>
      <c r="K24">
        <v>4</v>
      </c>
      <c r="L24">
        <v>1</v>
      </c>
      <c r="M24">
        <v>0</v>
      </c>
      <c r="N24" t="s">
        <v>23</v>
      </c>
      <c r="O24">
        <v>1</v>
      </c>
      <c r="P24">
        <v>1</v>
      </c>
      <c r="Q24">
        <v>0</v>
      </c>
    </row>
    <row r="25" spans="1:17" x14ac:dyDescent="0.35">
      <c r="A25">
        <v>2920</v>
      </c>
      <c r="B25" t="s">
        <v>23</v>
      </c>
      <c r="C25">
        <f t="shared" si="0"/>
        <v>710732</v>
      </c>
      <c r="D25">
        <v>1966</v>
      </c>
      <c r="E25" t="s">
        <v>7</v>
      </c>
      <c r="F25">
        <v>710</v>
      </c>
      <c r="G25" t="s">
        <v>5</v>
      </c>
      <c r="H25">
        <v>732</v>
      </c>
      <c r="I25">
        <v>0</v>
      </c>
      <c r="J25">
        <v>15</v>
      </c>
      <c r="K25">
        <v>4</v>
      </c>
      <c r="L25">
        <v>1</v>
      </c>
      <c r="M25">
        <v>0</v>
      </c>
      <c r="N25" t="s">
        <v>23</v>
      </c>
      <c r="O25">
        <v>0</v>
      </c>
      <c r="P25">
        <v>1</v>
      </c>
      <c r="Q25">
        <v>0</v>
      </c>
    </row>
    <row r="26" spans="1:17" x14ac:dyDescent="0.35">
      <c r="A26">
        <v>2930</v>
      </c>
      <c r="B26" t="s">
        <v>23</v>
      </c>
      <c r="C26">
        <f t="shared" si="0"/>
        <v>365732</v>
      </c>
      <c r="D26">
        <v>1967</v>
      </c>
      <c r="E26" t="s">
        <v>10</v>
      </c>
      <c r="F26">
        <v>365</v>
      </c>
      <c r="G26" t="s">
        <v>5</v>
      </c>
      <c r="H26">
        <v>732</v>
      </c>
      <c r="I26">
        <v>0</v>
      </c>
      <c r="J26">
        <v>16</v>
      </c>
      <c r="K26">
        <v>4</v>
      </c>
      <c r="L26">
        <v>1</v>
      </c>
      <c r="M26">
        <v>0</v>
      </c>
      <c r="N26" t="s">
        <v>23</v>
      </c>
      <c r="O26">
        <v>0</v>
      </c>
      <c r="P26">
        <v>1</v>
      </c>
      <c r="Q26">
        <v>0</v>
      </c>
    </row>
    <row r="27" spans="1:17" x14ac:dyDescent="0.35">
      <c r="A27">
        <v>347</v>
      </c>
      <c r="C27">
        <f t="shared" si="0"/>
        <v>2731</v>
      </c>
      <c r="D27">
        <v>1968</v>
      </c>
      <c r="E27" t="s">
        <v>8</v>
      </c>
      <c r="F27">
        <v>2</v>
      </c>
      <c r="G27" t="s">
        <v>9</v>
      </c>
      <c r="H27">
        <v>731</v>
      </c>
      <c r="I27">
        <v>0</v>
      </c>
      <c r="J27">
        <v>15</v>
      </c>
      <c r="K27">
        <v>4</v>
      </c>
      <c r="L27">
        <v>0</v>
      </c>
      <c r="M27">
        <v>1</v>
      </c>
      <c r="N27">
        <v>1</v>
      </c>
      <c r="O27">
        <v>0</v>
      </c>
      <c r="P27">
        <v>0</v>
      </c>
      <c r="Q27">
        <v>1</v>
      </c>
    </row>
    <row r="28" spans="1:17" x14ac:dyDescent="0.35">
      <c r="A28">
        <v>2941</v>
      </c>
      <c r="B28" t="s">
        <v>23</v>
      </c>
      <c r="C28">
        <f t="shared" si="0"/>
        <v>2731</v>
      </c>
      <c r="D28">
        <v>1969</v>
      </c>
      <c r="E28" t="s">
        <v>8</v>
      </c>
      <c r="F28">
        <v>2</v>
      </c>
      <c r="G28" t="s">
        <v>9</v>
      </c>
      <c r="H28">
        <v>731</v>
      </c>
      <c r="I28">
        <v>2</v>
      </c>
      <c r="J28">
        <v>7</v>
      </c>
      <c r="K28">
        <v>3</v>
      </c>
      <c r="L28">
        <v>0</v>
      </c>
      <c r="M28">
        <v>1</v>
      </c>
      <c r="N28">
        <v>1</v>
      </c>
      <c r="O28">
        <v>0</v>
      </c>
      <c r="P28">
        <v>0</v>
      </c>
      <c r="Q28">
        <v>1</v>
      </c>
    </row>
    <row r="29" spans="1:17" x14ac:dyDescent="0.35">
      <c r="A29">
        <v>2190</v>
      </c>
      <c r="B29" t="s">
        <v>23</v>
      </c>
      <c r="C29">
        <f t="shared" si="0"/>
        <v>731732</v>
      </c>
      <c r="D29">
        <v>1970</v>
      </c>
      <c r="E29" t="s">
        <v>9</v>
      </c>
      <c r="F29">
        <v>731</v>
      </c>
      <c r="G29" t="s">
        <v>5</v>
      </c>
      <c r="H29">
        <v>732</v>
      </c>
      <c r="I29">
        <v>2</v>
      </c>
      <c r="J29">
        <v>17</v>
      </c>
      <c r="K29">
        <v>4</v>
      </c>
      <c r="L29">
        <v>1</v>
      </c>
      <c r="M29">
        <v>0</v>
      </c>
      <c r="N29">
        <v>1</v>
      </c>
      <c r="O29">
        <v>0</v>
      </c>
      <c r="P29">
        <v>1</v>
      </c>
      <c r="Q29">
        <v>1</v>
      </c>
    </row>
    <row r="30" spans="1:17" x14ac:dyDescent="0.35">
      <c r="A30">
        <v>2191</v>
      </c>
      <c r="B30" t="s">
        <v>23</v>
      </c>
      <c r="C30">
        <f t="shared" si="0"/>
        <v>731732</v>
      </c>
      <c r="D30">
        <v>1974</v>
      </c>
      <c r="E30" t="s">
        <v>9</v>
      </c>
      <c r="F30">
        <v>731</v>
      </c>
      <c r="G30" t="s">
        <v>5</v>
      </c>
      <c r="H30">
        <v>732</v>
      </c>
      <c r="I30">
        <v>1</v>
      </c>
      <c r="J30">
        <v>16</v>
      </c>
      <c r="K30">
        <v>4</v>
      </c>
      <c r="L30">
        <v>1</v>
      </c>
      <c r="M30">
        <v>0</v>
      </c>
      <c r="N30">
        <v>1</v>
      </c>
      <c r="O30">
        <v>0</v>
      </c>
      <c r="P30">
        <v>1</v>
      </c>
      <c r="Q30">
        <v>1</v>
      </c>
    </row>
    <row r="31" spans="1:17" x14ac:dyDescent="0.35">
      <c r="A31">
        <v>1472</v>
      </c>
      <c r="B31" t="s">
        <v>23</v>
      </c>
      <c r="C31">
        <f t="shared" si="0"/>
        <v>731732</v>
      </c>
      <c r="D31">
        <v>1975</v>
      </c>
      <c r="E31" t="s">
        <v>9</v>
      </c>
      <c r="F31">
        <v>731</v>
      </c>
      <c r="G31" t="s">
        <v>5</v>
      </c>
      <c r="H31">
        <v>732</v>
      </c>
      <c r="I31">
        <v>1</v>
      </c>
      <c r="J31">
        <v>17</v>
      </c>
      <c r="K31">
        <v>4</v>
      </c>
      <c r="L31">
        <v>0</v>
      </c>
      <c r="M31">
        <v>1</v>
      </c>
      <c r="N31">
        <v>0</v>
      </c>
      <c r="O31">
        <v>1</v>
      </c>
      <c r="P31">
        <v>1</v>
      </c>
      <c r="Q31">
        <v>1</v>
      </c>
    </row>
    <row r="32" spans="1:17" x14ac:dyDescent="0.35">
      <c r="A32">
        <v>362</v>
      </c>
      <c r="B32" t="s">
        <v>23</v>
      </c>
      <c r="C32">
        <f t="shared" si="0"/>
        <v>731732</v>
      </c>
      <c r="D32">
        <v>1976</v>
      </c>
      <c r="E32" t="s">
        <v>9</v>
      </c>
      <c r="F32">
        <v>731</v>
      </c>
      <c r="G32" t="s">
        <v>5</v>
      </c>
      <c r="H32">
        <v>732</v>
      </c>
      <c r="I32">
        <v>1</v>
      </c>
      <c r="J32">
        <v>17</v>
      </c>
      <c r="K32">
        <v>4</v>
      </c>
      <c r="L32">
        <v>1</v>
      </c>
      <c r="M32">
        <v>0</v>
      </c>
      <c r="N32">
        <v>1</v>
      </c>
      <c r="O32" t="s">
        <v>23</v>
      </c>
      <c r="P32">
        <v>1</v>
      </c>
      <c r="Q32">
        <v>1</v>
      </c>
    </row>
    <row r="33" spans="1:17" x14ac:dyDescent="0.35">
      <c r="A33">
        <v>2956</v>
      </c>
      <c r="B33" t="s">
        <v>23</v>
      </c>
      <c r="C33">
        <f t="shared" si="0"/>
        <v>710732</v>
      </c>
      <c r="D33">
        <v>1976</v>
      </c>
      <c r="E33" t="s">
        <v>7</v>
      </c>
      <c r="F33">
        <v>710</v>
      </c>
      <c r="G33" t="s">
        <v>5</v>
      </c>
      <c r="H33">
        <v>732</v>
      </c>
      <c r="I33">
        <v>0</v>
      </c>
      <c r="J33">
        <v>15</v>
      </c>
      <c r="K33">
        <v>4</v>
      </c>
      <c r="L33">
        <v>1</v>
      </c>
      <c r="M33">
        <v>0</v>
      </c>
      <c r="N33" t="s">
        <v>23</v>
      </c>
      <c r="O33">
        <v>0</v>
      </c>
      <c r="P33">
        <v>1</v>
      </c>
      <c r="Q33">
        <v>0</v>
      </c>
    </row>
    <row r="34" spans="1:17" x14ac:dyDescent="0.35">
      <c r="A34">
        <v>2960</v>
      </c>
      <c r="B34" t="s">
        <v>23</v>
      </c>
      <c r="C34">
        <f t="shared" si="0"/>
        <v>2731</v>
      </c>
      <c r="D34">
        <v>1976</v>
      </c>
      <c r="E34" t="s">
        <v>8</v>
      </c>
      <c r="F34">
        <v>2</v>
      </c>
      <c r="G34" t="s">
        <v>9</v>
      </c>
      <c r="H34">
        <v>731</v>
      </c>
      <c r="I34">
        <v>0</v>
      </c>
      <c r="J34">
        <v>12</v>
      </c>
      <c r="K34">
        <v>3</v>
      </c>
      <c r="L34">
        <v>1</v>
      </c>
      <c r="M34">
        <v>0</v>
      </c>
      <c r="N34">
        <v>0</v>
      </c>
      <c r="O34" t="s">
        <v>23</v>
      </c>
      <c r="P34">
        <v>0</v>
      </c>
      <c r="Q34">
        <v>1</v>
      </c>
    </row>
    <row r="35" spans="1:17" x14ac:dyDescent="0.35">
      <c r="A35">
        <v>2192</v>
      </c>
      <c r="C35">
        <f t="shared" si="0"/>
        <v>731732</v>
      </c>
      <c r="D35">
        <v>1977</v>
      </c>
      <c r="E35" t="s">
        <v>9</v>
      </c>
      <c r="F35">
        <v>731</v>
      </c>
      <c r="G35" t="s">
        <v>5</v>
      </c>
      <c r="H35">
        <v>732</v>
      </c>
      <c r="I35">
        <v>1</v>
      </c>
      <c r="J35">
        <v>17</v>
      </c>
      <c r="K35">
        <v>4</v>
      </c>
      <c r="L35">
        <v>1</v>
      </c>
      <c r="M35">
        <v>0</v>
      </c>
      <c r="N35">
        <v>1</v>
      </c>
      <c r="O35">
        <v>0</v>
      </c>
      <c r="P35">
        <v>1</v>
      </c>
      <c r="Q35">
        <v>1</v>
      </c>
    </row>
    <row r="36" spans="1:17" x14ac:dyDescent="0.35">
      <c r="A36">
        <v>2963</v>
      </c>
      <c r="B36" t="s">
        <v>23</v>
      </c>
      <c r="C36">
        <f t="shared" si="0"/>
        <v>731740</v>
      </c>
      <c r="D36">
        <v>1977</v>
      </c>
      <c r="E36" t="s">
        <v>9</v>
      </c>
      <c r="F36">
        <v>731</v>
      </c>
      <c r="G36" t="s">
        <v>6</v>
      </c>
      <c r="H36">
        <v>740</v>
      </c>
      <c r="I36">
        <v>0</v>
      </c>
      <c r="J36">
        <v>15</v>
      </c>
      <c r="K36">
        <v>4</v>
      </c>
      <c r="L36">
        <v>1</v>
      </c>
      <c r="M36">
        <v>0</v>
      </c>
      <c r="N36">
        <v>1</v>
      </c>
      <c r="O36" t="s">
        <v>23</v>
      </c>
      <c r="P36">
        <v>0</v>
      </c>
      <c r="Q36">
        <v>1</v>
      </c>
    </row>
    <row r="37" spans="1:17" x14ac:dyDescent="0.35">
      <c r="A37">
        <v>3008</v>
      </c>
      <c r="B37" t="s">
        <v>23</v>
      </c>
      <c r="C37">
        <f t="shared" si="0"/>
        <v>365732</v>
      </c>
      <c r="D37">
        <v>1978</v>
      </c>
      <c r="E37" t="s">
        <v>10</v>
      </c>
      <c r="F37">
        <v>365</v>
      </c>
      <c r="G37" t="s">
        <v>5</v>
      </c>
      <c r="H37">
        <v>732</v>
      </c>
      <c r="I37">
        <v>0</v>
      </c>
      <c r="J37">
        <v>16</v>
      </c>
      <c r="K37">
        <v>4</v>
      </c>
      <c r="L37">
        <v>1</v>
      </c>
      <c r="M37">
        <v>0</v>
      </c>
      <c r="N37" t="s">
        <v>23</v>
      </c>
      <c r="O37">
        <v>0</v>
      </c>
      <c r="P37">
        <v>1</v>
      </c>
      <c r="Q37">
        <v>0</v>
      </c>
    </row>
    <row r="38" spans="1:17" x14ac:dyDescent="0.35">
      <c r="A38">
        <v>2193</v>
      </c>
      <c r="B38" t="s">
        <v>23</v>
      </c>
      <c r="C38">
        <f t="shared" si="0"/>
        <v>731732</v>
      </c>
      <c r="D38">
        <v>1979</v>
      </c>
      <c r="E38" t="s">
        <v>9</v>
      </c>
      <c r="F38">
        <v>731</v>
      </c>
      <c r="G38" t="s">
        <v>5</v>
      </c>
      <c r="H38">
        <v>732</v>
      </c>
      <c r="I38">
        <v>1</v>
      </c>
      <c r="J38">
        <v>17</v>
      </c>
      <c r="K38">
        <v>4</v>
      </c>
      <c r="L38">
        <v>1</v>
      </c>
      <c r="M38">
        <v>0</v>
      </c>
      <c r="N38">
        <v>1</v>
      </c>
      <c r="O38" t="s">
        <v>23</v>
      </c>
      <c r="P38">
        <v>1</v>
      </c>
      <c r="Q38">
        <v>1</v>
      </c>
    </row>
    <row r="39" spans="1:17" x14ac:dyDescent="0.35">
      <c r="A39">
        <v>2194</v>
      </c>
      <c r="B39" t="s">
        <v>23</v>
      </c>
      <c r="C39">
        <f t="shared" si="0"/>
        <v>731732</v>
      </c>
      <c r="D39">
        <v>1981</v>
      </c>
      <c r="E39" t="s">
        <v>9</v>
      </c>
      <c r="F39">
        <v>731</v>
      </c>
      <c r="G39" t="s">
        <v>5</v>
      </c>
      <c r="H39">
        <v>732</v>
      </c>
      <c r="I39">
        <v>0</v>
      </c>
      <c r="J39">
        <v>17</v>
      </c>
      <c r="K39">
        <v>4</v>
      </c>
      <c r="L39">
        <v>1</v>
      </c>
      <c r="M39">
        <v>0</v>
      </c>
      <c r="N39">
        <v>1</v>
      </c>
      <c r="O39">
        <v>0</v>
      </c>
      <c r="P39">
        <v>1</v>
      </c>
      <c r="Q39">
        <v>1</v>
      </c>
    </row>
    <row r="40" spans="1:17" x14ac:dyDescent="0.35">
      <c r="A40">
        <v>2971</v>
      </c>
      <c r="B40" t="s">
        <v>23</v>
      </c>
      <c r="C40">
        <f t="shared" si="0"/>
        <v>2731</v>
      </c>
      <c r="D40">
        <v>1981</v>
      </c>
      <c r="E40" t="s">
        <v>8</v>
      </c>
      <c r="F40">
        <v>2</v>
      </c>
      <c r="G40" t="s">
        <v>9</v>
      </c>
      <c r="H40">
        <v>731</v>
      </c>
      <c r="I40">
        <v>0</v>
      </c>
      <c r="J40">
        <v>12</v>
      </c>
      <c r="K40">
        <v>3</v>
      </c>
      <c r="L40">
        <v>1</v>
      </c>
      <c r="M40">
        <v>0</v>
      </c>
      <c r="N40">
        <v>0</v>
      </c>
      <c r="O40" t="s">
        <v>23</v>
      </c>
      <c r="P40">
        <v>0</v>
      </c>
      <c r="Q40">
        <v>1</v>
      </c>
    </row>
    <row r="41" spans="1:17" x14ac:dyDescent="0.35">
      <c r="A41">
        <v>2974</v>
      </c>
      <c r="B41" t="s">
        <v>23</v>
      </c>
      <c r="C41">
        <f t="shared" si="0"/>
        <v>731740</v>
      </c>
      <c r="D41">
        <v>1982</v>
      </c>
      <c r="E41" t="s">
        <v>9</v>
      </c>
      <c r="F41">
        <v>731</v>
      </c>
      <c r="G41" t="s">
        <v>6</v>
      </c>
      <c r="H41">
        <v>740</v>
      </c>
      <c r="I41">
        <v>0</v>
      </c>
      <c r="J41">
        <v>15</v>
      </c>
      <c r="K41">
        <v>4</v>
      </c>
      <c r="L41">
        <v>1</v>
      </c>
      <c r="M41">
        <v>0</v>
      </c>
      <c r="N41">
        <v>1</v>
      </c>
      <c r="O41" t="s">
        <v>23</v>
      </c>
      <c r="P41">
        <v>0</v>
      </c>
      <c r="Q41">
        <v>1</v>
      </c>
    </row>
    <row r="42" spans="1:17" x14ac:dyDescent="0.35">
      <c r="A42">
        <v>2979</v>
      </c>
      <c r="B42" t="s">
        <v>23</v>
      </c>
      <c r="C42">
        <f t="shared" si="0"/>
        <v>2731</v>
      </c>
      <c r="D42">
        <v>1982</v>
      </c>
      <c r="E42" t="s">
        <v>8</v>
      </c>
      <c r="F42">
        <v>2</v>
      </c>
      <c r="G42" t="s">
        <v>9</v>
      </c>
      <c r="H42">
        <v>731</v>
      </c>
      <c r="I42">
        <v>0</v>
      </c>
      <c r="J42">
        <v>12</v>
      </c>
      <c r="K42">
        <v>3</v>
      </c>
      <c r="L42">
        <v>1</v>
      </c>
      <c r="M42">
        <v>0</v>
      </c>
      <c r="N42">
        <v>0</v>
      </c>
      <c r="O42" t="s">
        <v>23</v>
      </c>
      <c r="P42">
        <v>0</v>
      </c>
      <c r="Q42">
        <v>1</v>
      </c>
    </row>
    <row r="43" spans="1:17" x14ac:dyDescent="0.35">
      <c r="A43">
        <v>3078</v>
      </c>
      <c r="B43" t="s">
        <v>23</v>
      </c>
      <c r="C43">
        <f t="shared" si="0"/>
        <v>645732</v>
      </c>
      <c r="D43">
        <v>1982</v>
      </c>
      <c r="E43" t="s">
        <v>11</v>
      </c>
      <c r="F43">
        <v>645</v>
      </c>
      <c r="G43" t="s">
        <v>5</v>
      </c>
      <c r="H43">
        <v>732</v>
      </c>
      <c r="I43">
        <v>0</v>
      </c>
      <c r="J43">
        <v>16</v>
      </c>
      <c r="K43">
        <v>4</v>
      </c>
      <c r="L43">
        <v>1</v>
      </c>
      <c r="M43">
        <v>0</v>
      </c>
      <c r="N43" t="s">
        <v>23</v>
      </c>
      <c r="O43">
        <v>0</v>
      </c>
      <c r="P43">
        <v>1</v>
      </c>
      <c r="Q43">
        <v>0</v>
      </c>
    </row>
    <row r="44" spans="1:17" x14ac:dyDescent="0.35">
      <c r="A44">
        <v>2195</v>
      </c>
      <c r="B44" t="s">
        <v>23</v>
      </c>
      <c r="C44">
        <f t="shared" si="0"/>
        <v>2731</v>
      </c>
      <c r="D44">
        <v>1983</v>
      </c>
      <c r="E44" t="s">
        <v>8</v>
      </c>
      <c r="F44">
        <v>2</v>
      </c>
      <c r="G44" t="s">
        <v>9</v>
      </c>
      <c r="H44">
        <v>731</v>
      </c>
      <c r="I44">
        <v>0</v>
      </c>
      <c r="J44">
        <v>16</v>
      </c>
      <c r="K44">
        <v>4</v>
      </c>
      <c r="L44">
        <v>1</v>
      </c>
      <c r="M44">
        <v>0</v>
      </c>
      <c r="N44">
        <v>0</v>
      </c>
      <c r="O44" t="s">
        <v>23</v>
      </c>
      <c r="P44">
        <v>0</v>
      </c>
      <c r="Q44">
        <v>1</v>
      </c>
    </row>
    <row r="45" spans="1:17" x14ac:dyDescent="0.35">
      <c r="A45">
        <v>2195</v>
      </c>
      <c r="B45" t="s">
        <v>23</v>
      </c>
      <c r="C45">
        <f t="shared" si="0"/>
        <v>731732</v>
      </c>
      <c r="D45">
        <v>1983</v>
      </c>
      <c r="E45" t="s">
        <v>9</v>
      </c>
      <c r="F45">
        <v>731</v>
      </c>
      <c r="G45" t="s">
        <v>5</v>
      </c>
      <c r="H45">
        <v>732</v>
      </c>
      <c r="I45">
        <v>0</v>
      </c>
      <c r="J45">
        <v>16</v>
      </c>
      <c r="K45">
        <v>4</v>
      </c>
      <c r="L45">
        <v>0</v>
      </c>
      <c r="M45">
        <v>1</v>
      </c>
      <c r="N45">
        <v>0</v>
      </c>
      <c r="O45">
        <v>1</v>
      </c>
      <c r="P45">
        <v>1</v>
      </c>
      <c r="Q45">
        <v>1</v>
      </c>
    </row>
    <row r="46" spans="1:17" x14ac:dyDescent="0.35">
      <c r="A46">
        <v>3063</v>
      </c>
      <c r="B46" t="s">
        <v>23</v>
      </c>
      <c r="C46">
        <f t="shared" si="0"/>
        <v>365732</v>
      </c>
      <c r="D46">
        <v>1983</v>
      </c>
      <c r="E46" t="s">
        <v>10</v>
      </c>
      <c r="F46">
        <v>365</v>
      </c>
      <c r="G46" t="s">
        <v>5</v>
      </c>
      <c r="H46">
        <v>732</v>
      </c>
      <c r="I46">
        <v>0</v>
      </c>
      <c r="J46">
        <v>16</v>
      </c>
      <c r="K46">
        <v>4</v>
      </c>
      <c r="L46">
        <v>1</v>
      </c>
      <c r="M46">
        <v>0</v>
      </c>
      <c r="N46" t="s">
        <v>23</v>
      </c>
      <c r="O46">
        <v>0</v>
      </c>
      <c r="P46">
        <v>1</v>
      </c>
      <c r="Q46">
        <v>0</v>
      </c>
    </row>
    <row r="47" spans="1:17" x14ac:dyDescent="0.35">
      <c r="A47">
        <v>2196</v>
      </c>
      <c r="B47" t="s">
        <v>23</v>
      </c>
      <c r="C47">
        <f t="shared" si="0"/>
        <v>2731</v>
      </c>
      <c r="D47">
        <v>1985</v>
      </c>
      <c r="E47" t="s">
        <v>8</v>
      </c>
      <c r="F47">
        <v>2</v>
      </c>
      <c r="G47" t="s">
        <v>9</v>
      </c>
      <c r="H47">
        <v>731</v>
      </c>
      <c r="I47">
        <v>0</v>
      </c>
      <c r="J47">
        <v>17</v>
      </c>
      <c r="K47">
        <v>4</v>
      </c>
      <c r="L47">
        <v>0</v>
      </c>
      <c r="M47">
        <v>1</v>
      </c>
      <c r="N47">
        <v>1</v>
      </c>
      <c r="O47" t="s">
        <v>23</v>
      </c>
      <c r="P47">
        <v>0</v>
      </c>
      <c r="Q47">
        <v>1</v>
      </c>
    </row>
    <row r="48" spans="1:17" x14ac:dyDescent="0.35">
      <c r="A48">
        <v>2550</v>
      </c>
      <c r="B48" t="s">
        <v>23</v>
      </c>
      <c r="C48">
        <f t="shared" si="0"/>
        <v>710732</v>
      </c>
      <c r="D48">
        <v>1985</v>
      </c>
      <c r="E48" t="s">
        <v>7</v>
      </c>
      <c r="F48">
        <v>710</v>
      </c>
      <c r="G48" t="s">
        <v>5</v>
      </c>
      <c r="H48">
        <v>732</v>
      </c>
      <c r="I48">
        <v>0</v>
      </c>
      <c r="J48">
        <v>16</v>
      </c>
      <c r="K48">
        <v>4</v>
      </c>
      <c r="L48">
        <v>0</v>
      </c>
      <c r="M48">
        <v>1</v>
      </c>
      <c r="N48" t="s">
        <v>23</v>
      </c>
      <c r="O48">
        <v>1</v>
      </c>
      <c r="P48">
        <v>1</v>
      </c>
      <c r="Q48">
        <v>0</v>
      </c>
    </row>
    <row r="49" spans="1:17" x14ac:dyDescent="0.35">
      <c r="A49">
        <v>2555</v>
      </c>
      <c r="B49" t="s">
        <v>23</v>
      </c>
      <c r="C49">
        <f t="shared" si="0"/>
        <v>630732</v>
      </c>
      <c r="D49">
        <v>1985</v>
      </c>
      <c r="E49" t="s">
        <v>12</v>
      </c>
      <c r="F49">
        <v>630</v>
      </c>
      <c r="G49" t="s">
        <v>5</v>
      </c>
      <c r="H49">
        <v>732</v>
      </c>
      <c r="I49">
        <v>0</v>
      </c>
      <c r="J49">
        <v>16</v>
      </c>
      <c r="K49">
        <v>4</v>
      </c>
      <c r="L49">
        <v>1</v>
      </c>
      <c r="M49">
        <v>0</v>
      </c>
      <c r="N49" t="s">
        <v>23</v>
      </c>
      <c r="O49">
        <v>0</v>
      </c>
      <c r="P49">
        <v>1</v>
      </c>
      <c r="Q49">
        <v>0</v>
      </c>
    </row>
    <row r="50" spans="1:17" x14ac:dyDescent="0.35">
      <c r="A50">
        <v>3033</v>
      </c>
      <c r="B50" t="s">
        <v>23</v>
      </c>
      <c r="C50">
        <f t="shared" si="0"/>
        <v>645732</v>
      </c>
      <c r="D50">
        <v>1985</v>
      </c>
      <c r="E50" t="s">
        <v>11</v>
      </c>
      <c r="F50">
        <v>645</v>
      </c>
      <c r="G50" t="s">
        <v>5</v>
      </c>
      <c r="H50">
        <v>732</v>
      </c>
      <c r="I50">
        <v>0</v>
      </c>
      <c r="J50">
        <v>16</v>
      </c>
      <c r="K50">
        <v>4</v>
      </c>
      <c r="L50">
        <v>1</v>
      </c>
      <c r="M50">
        <v>0</v>
      </c>
      <c r="N50" t="s">
        <v>23</v>
      </c>
      <c r="O50">
        <v>0</v>
      </c>
      <c r="P50">
        <v>1</v>
      </c>
      <c r="Q50">
        <v>0</v>
      </c>
    </row>
    <row r="51" spans="1:17" x14ac:dyDescent="0.35">
      <c r="A51">
        <v>2198</v>
      </c>
      <c r="B51" t="s">
        <v>23</v>
      </c>
      <c r="C51">
        <f t="shared" si="0"/>
        <v>731732</v>
      </c>
      <c r="D51">
        <v>1986</v>
      </c>
      <c r="E51" t="s">
        <v>9</v>
      </c>
      <c r="F51">
        <v>731</v>
      </c>
      <c r="G51" t="s">
        <v>5</v>
      </c>
      <c r="H51">
        <v>732</v>
      </c>
      <c r="I51">
        <v>0</v>
      </c>
      <c r="J51">
        <v>17</v>
      </c>
      <c r="K51">
        <v>4</v>
      </c>
      <c r="L51">
        <v>1</v>
      </c>
      <c r="M51">
        <v>0</v>
      </c>
      <c r="N51">
        <v>1</v>
      </c>
      <c r="O51">
        <v>0</v>
      </c>
      <c r="P51">
        <v>1</v>
      </c>
      <c r="Q51">
        <v>1</v>
      </c>
    </row>
    <row r="52" spans="1:17" x14ac:dyDescent="0.35">
      <c r="A52">
        <v>2315</v>
      </c>
      <c r="B52" t="s">
        <v>23</v>
      </c>
      <c r="C52">
        <f t="shared" si="0"/>
        <v>710732</v>
      </c>
      <c r="D52">
        <v>1986</v>
      </c>
      <c r="E52" t="s">
        <v>7</v>
      </c>
      <c r="F52">
        <v>710</v>
      </c>
      <c r="G52" t="s">
        <v>5</v>
      </c>
      <c r="H52">
        <v>732</v>
      </c>
      <c r="I52">
        <v>0</v>
      </c>
      <c r="J52">
        <v>15</v>
      </c>
      <c r="K52">
        <v>4</v>
      </c>
      <c r="L52">
        <v>0</v>
      </c>
      <c r="M52">
        <v>1</v>
      </c>
      <c r="N52" t="s">
        <v>23</v>
      </c>
      <c r="O52">
        <v>1</v>
      </c>
      <c r="P52">
        <v>1</v>
      </c>
      <c r="Q52">
        <v>0</v>
      </c>
    </row>
    <row r="53" spans="1:17" x14ac:dyDescent="0.35">
      <c r="A53">
        <v>2794</v>
      </c>
      <c r="B53" t="s">
        <v>23</v>
      </c>
      <c r="C53">
        <f t="shared" si="0"/>
        <v>630732</v>
      </c>
      <c r="D53">
        <v>1987</v>
      </c>
      <c r="E53" t="s">
        <v>12</v>
      </c>
      <c r="F53">
        <v>630</v>
      </c>
      <c r="G53" t="s">
        <v>5</v>
      </c>
      <c r="H53">
        <v>732</v>
      </c>
      <c r="I53">
        <v>0</v>
      </c>
      <c r="J53">
        <v>16</v>
      </c>
      <c r="K53">
        <v>4</v>
      </c>
      <c r="L53">
        <v>1</v>
      </c>
      <c r="M53">
        <v>0</v>
      </c>
      <c r="N53" t="s">
        <v>23</v>
      </c>
      <c r="O53">
        <v>0</v>
      </c>
      <c r="P53">
        <v>1</v>
      </c>
      <c r="Q53">
        <v>0</v>
      </c>
    </row>
    <row r="54" spans="1:17" x14ac:dyDescent="0.35">
      <c r="A54">
        <v>3917</v>
      </c>
      <c r="B54" t="s">
        <v>23</v>
      </c>
      <c r="C54">
        <f t="shared" si="0"/>
        <v>731732</v>
      </c>
      <c r="D54">
        <v>1989</v>
      </c>
      <c r="E54" t="s">
        <v>9</v>
      </c>
      <c r="F54">
        <v>731</v>
      </c>
      <c r="G54" t="s">
        <v>5</v>
      </c>
      <c r="H54">
        <v>732</v>
      </c>
      <c r="I54">
        <v>0</v>
      </c>
      <c r="J54">
        <v>15</v>
      </c>
      <c r="K54">
        <v>4</v>
      </c>
      <c r="L54">
        <v>1</v>
      </c>
      <c r="M54">
        <v>0</v>
      </c>
      <c r="N54">
        <v>1</v>
      </c>
      <c r="O54" t="s">
        <v>23</v>
      </c>
      <c r="P54">
        <v>1</v>
      </c>
      <c r="Q54">
        <v>1</v>
      </c>
    </row>
    <row r="55" spans="1:17" x14ac:dyDescent="0.35">
      <c r="A55">
        <v>3951</v>
      </c>
      <c r="B55" t="s">
        <v>23</v>
      </c>
      <c r="C55">
        <f t="shared" si="0"/>
        <v>220731</v>
      </c>
      <c r="D55">
        <v>1990</v>
      </c>
      <c r="E55" t="s">
        <v>13</v>
      </c>
      <c r="F55">
        <v>220</v>
      </c>
      <c r="G55" t="s">
        <v>9</v>
      </c>
      <c r="H55">
        <v>731</v>
      </c>
      <c r="I55">
        <v>0</v>
      </c>
      <c r="J55">
        <v>16</v>
      </c>
      <c r="K55">
        <v>4</v>
      </c>
      <c r="L55">
        <v>1</v>
      </c>
      <c r="M55">
        <v>0</v>
      </c>
      <c r="N55">
        <v>0</v>
      </c>
      <c r="O55" t="s">
        <v>23</v>
      </c>
      <c r="P55">
        <v>0</v>
      </c>
      <c r="Q55">
        <v>1</v>
      </c>
    </row>
    <row r="56" spans="1:17" x14ac:dyDescent="0.35">
      <c r="A56">
        <v>3984</v>
      </c>
      <c r="B56" t="s">
        <v>23</v>
      </c>
      <c r="C56">
        <f t="shared" si="0"/>
        <v>731732</v>
      </c>
      <c r="D56">
        <v>1991</v>
      </c>
      <c r="E56" t="s">
        <v>9</v>
      </c>
      <c r="F56">
        <v>731</v>
      </c>
      <c r="G56" t="s">
        <v>5</v>
      </c>
      <c r="H56">
        <v>732</v>
      </c>
      <c r="I56">
        <v>0</v>
      </c>
      <c r="J56">
        <v>8</v>
      </c>
      <c r="K56">
        <v>3</v>
      </c>
      <c r="L56">
        <v>0</v>
      </c>
      <c r="M56">
        <v>1</v>
      </c>
      <c r="N56">
        <v>0</v>
      </c>
      <c r="O56">
        <v>1</v>
      </c>
      <c r="P56">
        <v>1</v>
      </c>
      <c r="Q56">
        <v>1</v>
      </c>
    </row>
    <row r="57" spans="1:17" x14ac:dyDescent="0.35">
      <c r="A57">
        <v>3570</v>
      </c>
      <c r="B57" t="s">
        <v>23</v>
      </c>
      <c r="C57">
        <f t="shared" ref="C57:C94" si="1">H57+(F57*1000)</f>
        <v>731732</v>
      </c>
      <c r="D57">
        <v>1992</v>
      </c>
      <c r="E57" t="s">
        <v>9</v>
      </c>
      <c r="F57">
        <v>731</v>
      </c>
      <c r="G57" t="s">
        <v>5</v>
      </c>
      <c r="H57">
        <v>732</v>
      </c>
      <c r="I57">
        <v>1</v>
      </c>
      <c r="J57">
        <v>17</v>
      </c>
      <c r="K57">
        <v>4</v>
      </c>
      <c r="L57">
        <v>1</v>
      </c>
      <c r="M57">
        <v>0</v>
      </c>
      <c r="N57">
        <v>1</v>
      </c>
      <c r="O57">
        <v>0</v>
      </c>
      <c r="P57">
        <v>1</v>
      </c>
      <c r="Q57">
        <v>1</v>
      </c>
    </row>
    <row r="58" spans="1:17" x14ac:dyDescent="0.35">
      <c r="A58">
        <v>4018</v>
      </c>
      <c r="B58" t="s">
        <v>23</v>
      </c>
      <c r="C58">
        <f t="shared" si="1"/>
        <v>710731</v>
      </c>
      <c r="D58">
        <v>1993</v>
      </c>
      <c r="E58" t="s">
        <v>7</v>
      </c>
      <c r="F58">
        <v>710</v>
      </c>
      <c r="G58" t="s">
        <v>9</v>
      </c>
      <c r="H58">
        <v>731</v>
      </c>
      <c r="I58">
        <v>1</v>
      </c>
      <c r="J58">
        <v>17</v>
      </c>
      <c r="K58">
        <v>4</v>
      </c>
      <c r="L58">
        <v>0</v>
      </c>
      <c r="M58">
        <v>1</v>
      </c>
      <c r="N58">
        <v>1</v>
      </c>
      <c r="O58" t="s">
        <v>23</v>
      </c>
      <c r="P58">
        <v>0</v>
      </c>
      <c r="Q58">
        <v>1</v>
      </c>
    </row>
    <row r="59" spans="1:17" x14ac:dyDescent="0.35">
      <c r="A59">
        <v>4021</v>
      </c>
      <c r="B59" t="s">
        <v>23</v>
      </c>
      <c r="C59">
        <f t="shared" si="1"/>
        <v>2731</v>
      </c>
      <c r="D59">
        <v>1993</v>
      </c>
      <c r="E59" t="s">
        <v>8</v>
      </c>
      <c r="F59">
        <v>2</v>
      </c>
      <c r="G59" t="s">
        <v>9</v>
      </c>
      <c r="H59">
        <v>731</v>
      </c>
      <c r="I59">
        <v>0</v>
      </c>
      <c r="J59">
        <v>8</v>
      </c>
      <c r="K59">
        <v>3</v>
      </c>
      <c r="L59">
        <v>1</v>
      </c>
      <c r="M59">
        <v>0</v>
      </c>
      <c r="N59">
        <v>0</v>
      </c>
      <c r="O59" t="s">
        <v>23</v>
      </c>
      <c r="P59">
        <v>0</v>
      </c>
      <c r="Q59">
        <v>1</v>
      </c>
    </row>
    <row r="60" spans="1:17" x14ac:dyDescent="0.35">
      <c r="A60">
        <v>4021</v>
      </c>
      <c r="B60" t="s">
        <v>23</v>
      </c>
      <c r="C60">
        <f t="shared" si="1"/>
        <v>731732</v>
      </c>
      <c r="D60">
        <v>1993</v>
      </c>
      <c r="E60" t="s">
        <v>9</v>
      </c>
      <c r="F60">
        <v>731</v>
      </c>
      <c r="G60" t="s">
        <v>5</v>
      </c>
      <c r="H60">
        <v>732</v>
      </c>
      <c r="I60">
        <v>0</v>
      </c>
      <c r="J60">
        <v>8</v>
      </c>
      <c r="K60">
        <v>3</v>
      </c>
      <c r="L60">
        <v>0</v>
      </c>
      <c r="M60">
        <v>1</v>
      </c>
      <c r="N60">
        <v>0</v>
      </c>
      <c r="O60">
        <v>1</v>
      </c>
      <c r="P60">
        <v>1</v>
      </c>
      <c r="Q60">
        <v>1</v>
      </c>
    </row>
    <row r="61" spans="1:17" s="1" customFormat="1" x14ac:dyDescent="0.35">
      <c r="A61" s="1">
        <v>4022</v>
      </c>
      <c r="B61" s="1" t="s">
        <v>23</v>
      </c>
      <c r="C61" s="1">
        <f t="shared" si="1"/>
        <v>2731</v>
      </c>
      <c r="D61" s="1">
        <v>1993</v>
      </c>
      <c r="E61" s="1" t="s">
        <v>8</v>
      </c>
      <c r="F61" s="1">
        <v>2</v>
      </c>
      <c r="G61" s="1" t="s">
        <v>9</v>
      </c>
      <c r="H61" s="1">
        <v>731</v>
      </c>
      <c r="I61" s="1">
        <v>0</v>
      </c>
      <c r="J61" s="1">
        <v>12</v>
      </c>
      <c r="K61" s="1">
        <v>3</v>
      </c>
      <c r="L61" s="1">
        <v>0</v>
      </c>
      <c r="M61" s="1">
        <v>1</v>
      </c>
      <c r="N61" s="1">
        <v>1</v>
      </c>
      <c r="O61" s="1" t="s">
        <v>23</v>
      </c>
      <c r="P61" s="1">
        <v>0</v>
      </c>
      <c r="Q61" s="1">
        <v>1</v>
      </c>
    </row>
    <row r="62" spans="1:17" x14ac:dyDescent="0.35">
      <c r="A62">
        <v>4022</v>
      </c>
      <c r="B62" t="s">
        <v>23</v>
      </c>
      <c r="C62">
        <f t="shared" si="1"/>
        <v>731732</v>
      </c>
      <c r="D62">
        <v>1993</v>
      </c>
      <c r="E62" t="s">
        <v>9</v>
      </c>
      <c r="F62">
        <v>731</v>
      </c>
      <c r="G62" t="s">
        <v>5</v>
      </c>
      <c r="H62">
        <v>732</v>
      </c>
      <c r="I62">
        <v>0</v>
      </c>
      <c r="J62">
        <v>12</v>
      </c>
      <c r="K62">
        <v>3</v>
      </c>
      <c r="L62">
        <v>1</v>
      </c>
      <c r="M62">
        <v>0</v>
      </c>
      <c r="N62">
        <v>1</v>
      </c>
      <c r="O62">
        <v>0</v>
      </c>
      <c r="P62">
        <v>1</v>
      </c>
      <c r="Q62">
        <v>1</v>
      </c>
    </row>
    <row r="63" spans="1:17" x14ac:dyDescent="0.35">
      <c r="A63">
        <v>4065</v>
      </c>
      <c r="B63" t="s">
        <v>23</v>
      </c>
      <c r="C63">
        <f t="shared" si="1"/>
        <v>710732</v>
      </c>
      <c r="D63">
        <v>1994</v>
      </c>
      <c r="E63" t="s">
        <v>7</v>
      </c>
      <c r="F63">
        <v>710</v>
      </c>
      <c r="G63" t="s">
        <v>5</v>
      </c>
      <c r="H63">
        <v>732</v>
      </c>
      <c r="I63">
        <v>0</v>
      </c>
      <c r="J63">
        <v>7</v>
      </c>
      <c r="K63">
        <v>3</v>
      </c>
      <c r="L63">
        <v>1</v>
      </c>
      <c r="M63">
        <v>0</v>
      </c>
      <c r="N63" t="s">
        <v>23</v>
      </c>
      <c r="O63">
        <v>0</v>
      </c>
      <c r="P63">
        <v>1</v>
      </c>
      <c r="Q63">
        <v>0</v>
      </c>
    </row>
    <row r="64" spans="1:17" x14ac:dyDescent="0.35">
      <c r="A64">
        <v>4087</v>
      </c>
      <c r="B64" t="s">
        <v>23</v>
      </c>
      <c r="C64">
        <f t="shared" si="1"/>
        <v>731732</v>
      </c>
      <c r="D64">
        <v>1994</v>
      </c>
      <c r="E64" t="s">
        <v>9</v>
      </c>
      <c r="F64">
        <v>731</v>
      </c>
      <c r="G64" t="s">
        <v>5</v>
      </c>
      <c r="H64">
        <v>732</v>
      </c>
      <c r="I64">
        <v>2</v>
      </c>
      <c r="J64">
        <v>17</v>
      </c>
      <c r="K64">
        <v>4</v>
      </c>
      <c r="L64">
        <v>1</v>
      </c>
      <c r="M64">
        <v>0</v>
      </c>
      <c r="N64">
        <v>1</v>
      </c>
      <c r="O64">
        <v>0</v>
      </c>
      <c r="P64">
        <v>1</v>
      </c>
      <c r="Q64">
        <v>1</v>
      </c>
    </row>
    <row r="65" spans="1:17" x14ac:dyDescent="0.35">
      <c r="A65">
        <v>4019</v>
      </c>
      <c r="B65" t="s">
        <v>23</v>
      </c>
      <c r="C65">
        <f t="shared" si="1"/>
        <v>710731</v>
      </c>
      <c r="D65">
        <v>1995</v>
      </c>
      <c r="E65" t="s">
        <v>7</v>
      </c>
      <c r="F65">
        <v>710</v>
      </c>
      <c r="G65" t="s">
        <v>9</v>
      </c>
      <c r="H65">
        <v>731</v>
      </c>
      <c r="I65">
        <v>0</v>
      </c>
      <c r="J65">
        <v>16</v>
      </c>
      <c r="K65">
        <v>4</v>
      </c>
      <c r="L65">
        <v>0</v>
      </c>
      <c r="M65">
        <v>1</v>
      </c>
      <c r="N65">
        <v>1</v>
      </c>
      <c r="O65" t="s">
        <v>23</v>
      </c>
      <c r="P65">
        <v>0</v>
      </c>
      <c r="Q65">
        <v>1</v>
      </c>
    </row>
    <row r="66" spans="1:17" x14ac:dyDescent="0.35">
      <c r="A66">
        <v>4126</v>
      </c>
      <c r="B66" t="s">
        <v>23</v>
      </c>
      <c r="C66">
        <f t="shared" si="1"/>
        <v>732740</v>
      </c>
      <c r="D66">
        <v>1996</v>
      </c>
      <c r="E66" t="s">
        <v>5</v>
      </c>
      <c r="F66">
        <v>732</v>
      </c>
      <c r="G66" t="s">
        <v>6</v>
      </c>
      <c r="H66">
        <v>740</v>
      </c>
      <c r="I66">
        <v>0</v>
      </c>
      <c r="J66">
        <v>7</v>
      </c>
      <c r="K66">
        <v>3</v>
      </c>
      <c r="L66">
        <v>1</v>
      </c>
      <c r="M66">
        <v>0</v>
      </c>
      <c r="N66" t="s">
        <v>23</v>
      </c>
      <c r="O66">
        <v>1</v>
      </c>
      <c r="P66">
        <v>1</v>
      </c>
      <c r="Q66">
        <v>0</v>
      </c>
    </row>
    <row r="67" spans="1:17" x14ac:dyDescent="0.35">
      <c r="A67">
        <v>4089</v>
      </c>
      <c r="B67" t="s">
        <v>23</v>
      </c>
      <c r="C67">
        <f t="shared" si="1"/>
        <v>710731</v>
      </c>
      <c r="D67">
        <v>1997</v>
      </c>
      <c r="E67" t="s">
        <v>7</v>
      </c>
      <c r="F67">
        <v>710</v>
      </c>
      <c r="G67" t="s">
        <v>9</v>
      </c>
      <c r="H67">
        <v>731</v>
      </c>
      <c r="I67" t="s">
        <v>23</v>
      </c>
      <c r="J67">
        <v>17</v>
      </c>
      <c r="K67">
        <v>4</v>
      </c>
      <c r="L67">
        <v>0</v>
      </c>
      <c r="M67">
        <v>1</v>
      </c>
      <c r="N67">
        <v>1</v>
      </c>
      <c r="O67" t="s">
        <v>23</v>
      </c>
      <c r="P67">
        <v>0</v>
      </c>
      <c r="Q67">
        <v>1</v>
      </c>
    </row>
    <row r="68" spans="1:17" x14ac:dyDescent="0.35">
      <c r="A68">
        <v>4226</v>
      </c>
      <c r="B68" t="s">
        <v>23</v>
      </c>
      <c r="C68">
        <f t="shared" si="1"/>
        <v>731740</v>
      </c>
      <c r="D68">
        <v>1997</v>
      </c>
      <c r="E68" t="s">
        <v>9</v>
      </c>
      <c r="F68">
        <v>731</v>
      </c>
      <c r="G68" t="s">
        <v>6</v>
      </c>
      <c r="H68">
        <v>740</v>
      </c>
      <c r="I68">
        <v>0</v>
      </c>
      <c r="J68">
        <v>7</v>
      </c>
      <c r="K68">
        <v>3</v>
      </c>
      <c r="L68">
        <v>1</v>
      </c>
      <c r="M68">
        <v>0</v>
      </c>
      <c r="N68">
        <v>1</v>
      </c>
      <c r="O68" t="s">
        <v>23</v>
      </c>
      <c r="P68">
        <v>0</v>
      </c>
      <c r="Q68">
        <v>1</v>
      </c>
    </row>
    <row r="69" spans="1:17" x14ac:dyDescent="0.35">
      <c r="A69">
        <v>4125</v>
      </c>
      <c r="B69" t="s">
        <v>23</v>
      </c>
      <c r="C69">
        <f t="shared" si="1"/>
        <v>2731</v>
      </c>
      <c r="D69">
        <v>1999</v>
      </c>
      <c r="E69" t="s">
        <v>8</v>
      </c>
      <c r="F69">
        <v>2</v>
      </c>
      <c r="G69" t="s">
        <v>9</v>
      </c>
      <c r="H69">
        <v>731</v>
      </c>
      <c r="I69">
        <v>0</v>
      </c>
      <c r="J69">
        <v>7</v>
      </c>
      <c r="K69">
        <v>3</v>
      </c>
      <c r="L69">
        <v>1</v>
      </c>
      <c r="M69">
        <v>0</v>
      </c>
      <c r="N69">
        <v>0</v>
      </c>
      <c r="O69" t="s">
        <v>23</v>
      </c>
      <c r="P69">
        <v>0</v>
      </c>
      <c r="Q69">
        <v>1</v>
      </c>
    </row>
    <row r="70" spans="1:17" x14ac:dyDescent="0.35">
      <c r="A70">
        <v>4127</v>
      </c>
      <c r="B70" t="s">
        <v>23</v>
      </c>
      <c r="C70">
        <f t="shared" si="1"/>
        <v>732732</v>
      </c>
      <c r="D70">
        <v>1999</v>
      </c>
      <c r="E70" t="s">
        <v>5</v>
      </c>
      <c r="F70">
        <v>732</v>
      </c>
      <c r="G70" t="s">
        <v>6</v>
      </c>
      <c r="H70">
        <v>732</v>
      </c>
      <c r="I70">
        <v>0</v>
      </c>
      <c r="J70">
        <v>15</v>
      </c>
      <c r="K70">
        <v>4</v>
      </c>
      <c r="L70">
        <v>0</v>
      </c>
      <c r="M70">
        <v>1</v>
      </c>
      <c r="N70" t="s">
        <v>23</v>
      </c>
      <c r="O70">
        <v>0</v>
      </c>
      <c r="P70">
        <v>1</v>
      </c>
      <c r="Q70">
        <v>0</v>
      </c>
    </row>
    <row r="71" spans="1:17" x14ac:dyDescent="0.35">
      <c r="A71">
        <v>4225</v>
      </c>
      <c r="B71" t="s">
        <v>23</v>
      </c>
      <c r="C71">
        <f t="shared" si="1"/>
        <v>731740</v>
      </c>
      <c r="D71">
        <v>1999</v>
      </c>
      <c r="E71" t="s">
        <v>9</v>
      </c>
      <c r="F71">
        <v>731</v>
      </c>
      <c r="G71" t="s">
        <v>6</v>
      </c>
      <c r="H71">
        <v>740</v>
      </c>
      <c r="I71">
        <v>0</v>
      </c>
      <c r="J71">
        <v>12</v>
      </c>
      <c r="K71">
        <v>3</v>
      </c>
      <c r="L71">
        <v>1</v>
      </c>
      <c r="M71">
        <v>0</v>
      </c>
      <c r="N71">
        <v>1</v>
      </c>
      <c r="O71" t="s">
        <v>23</v>
      </c>
      <c r="P71">
        <v>0</v>
      </c>
      <c r="Q71">
        <v>1</v>
      </c>
    </row>
    <row r="72" spans="1:17" x14ac:dyDescent="0.35">
      <c r="A72">
        <v>4322</v>
      </c>
      <c r="B72" t="s">
        <v>23</v>
      </c>
      <c r="C72">
        <f t="shared" si="1"/>
        <v>731740</v>
      </c>
      <c r="D72">
        <v>1999</v>
      </c>
      <c r="E72" t="s">
        <v>9</v>
      </c>
      <c r="F72">
        <v>731</v>
      </c>
      <c r="G72" t="s">
        <v>6</v>
      </c>
      <c r="H72">
        <v>740</v>
      </c>
      <c r="I72">
        <v>0</v>
      </c>
      <c r="J72">
        <v>8</v>
      </c>
      <c r="K72">
        <v>3</v>
      </c>
      <c r="L72">
        <v>0</v>
      </c>
      <c r="M72">
        <v>1</v>
      </c>
      <c r="N72">
        <v>0</v>
      </c>
      <c r="O72" t="s">
        <v>23</v>
      </c>
      <c r="P72">
        <v>0</v>
      </c>
      <c r="Q72">
        <v>1</v>
      </c>
    </row>
    <row r="73" spans="1:17" x14ac:dyDescent="0.35">
      <c r="A73">
        <v>4218</v>
      </c>
      <c r="B73" t="s">
        <v>23</v>
      </c>
      <c r="C73">
        <f t="shared" si="1"/>
        <v>2731</v>
      </c>
      <c r="D73">
        <v>2000</v>
      </c>
      <c r="E73" t="s">
        <v>8</v>
      </c>
      <c r="F73">
        <v>2</v>
      </c>
      <c r="G73" t="s">
        <v>9</v>
      </c>
      <c r="H73">
        <v>731</v>
      </c>
      <c r="I73">
        <v>0</v>
      </c>
      <c r="J73">
        <v>1</v>
      </c>
      <c r="K73">
        <v>2</v>
      </c>
      <c r="L73">
        <v>0</v>
      </c>
      <c r="M73">
        <v>1</v>
      </c>
      <c r="N73">
        <v>1</v>
      </c>
      <c r="O73" t="s">
        <v>23</v>
      </c>
      <c r="P73">
        <v>0</v>
      </c>
      <c r="Q73">
        <v>1</v>
      </c>
    </row>
    <row r="74" spans="1:17" x14ac:dyDescent="0.35">
      <c r="A74">
        <v>4218</v>
      </c>
      <c r="B74" t="s">
        <v>23</v>
      </c>
      <c r="C74">
        <f t="shared" si="1"/>
        <v>731732</v>
      </c>
      <c r="D74">
        <v>2000</v>
      </c>
      <c r="E74" t="s">
        <v>9</v>
      </c>
      <c r="F74">
        <v>731</v>
      </c>
      <c r="G74" t="s">
        <v>5</v>
      </c>
      <c r="H74">
        <v>732</v>
      </c>
      <c r="I74">
        <v>0</v>
      </c>
      <c r="J74">
        <v>1</v>
      </c>
      <c r="K74">
        <v>2</v>
      </c>
      <c r="L74">
        <v>1</v>
      </c>
      <c r="M74">
        <v>0</v>
      </c>
      <c r="N74">
        <v>1</v>
      </c>
      <c r="O74">
        <v>0</v>
      </c>
      <c r="P74">
        <v>1</v>
      </c>
      <c r="Q74">
        <v>1</v>
      </c>
    </row>
    <row r="75" spans="1:17" x14ac:dyDescent="0.35">
      <c r="A75">
        <v>4266</v>
      </c>
      <c r="B75" t="s">
        <v>23</v>
      </c>
      <c r="C75">
        <f t="shared" si="1"/>
        <v>731740</v>
      </c>
      <c r="D75">
        <v>2001</v>
      </c>
      <c r="E75" t="s">
        <v>9</v>
      </c>
      <c r="F75">
        <v>731</v>
      </c>
      <c r="G75" t="s">
        <v>6</v>
      </c>
      <c r="H75">
        <v>740</v>
      </c>
      <c r="I75">
        <v>1</v>
      </c>
      <c r="J75">
        <v>17</v>
      </c>
      <c r="K75">
        <v>4</v>
      </c>
      <c r="L75">
        <v>0</v>
      </c>
      <c r="M75">
        <v>1</v>
      </c>
      <c r="N75">
        <v>0</v>
      </c>
      <c r="O75" t="s">
        <v>23</v>
      </c>
      <c r="P75">
        <v>0</v>
      </c>
      <c r="Q75">
        <v>1</v>
      </c>
    </row>
    <row r="76" spans="1:17" x14ac:dyDescent="0.35">
      <c r="A76">
        <v>4282</v>
      </c>
      <c r="B76" t="s">
        <v>23</v>
      </c>
      <c r="C76">
        <f t="shared" si="1"/>
        <v>731732</v>
      </c>
      <c r="D76">
        <v>2001</v>
      </c>
      <c r="E76" t="s">
        <v>9</v>
      </c>
      <c r="F76">
        <v>731</v>
      </c>
      <c r="G76" t="s">
        <v>5</v>
      </c>
      <c r="H76">
        <v>732</v>
      </c>
      <c r="I76">
        <v>1</v>
      </c>
      <c r="J76">
        <v>17</v>
      </c>
      <c r="K76">
        <v>4</v>
      </c>
      <c r="L76">
        <v>1</v>
      </c>
      <c r="M76">
        <v>0</v>
      </c>
      <c r="N76">
        <v>1</v>
      </c>
      <c r="O76">
        <v>0</v>
      </c>
      <c r="P76">
        <v>1</v>
      </c>
      <c r="Q76">
        <v>1</v>
      </c>
    </row>
    <row r="77" spans="1:17" x14ac:dyDescent="0.35">
      <c r="A77">
        <v>4447</v>
      </c>
      <c r="B77" t="s">
        <v>23</v>
      </c>
      <c r="C77">
        <f t="shared" si="1"/>
        <v>710732</v>
      </c>
      <c r="D77">
        <v>2002</v>
      </c>
      <c r="E77" t="s">
        <v>7</v>
      </c>
      <c r="F77">
        <v>710</v>
      </c>
      <c r="G77" t="s">
        <v>5</v>
      </c>
      <c r="H77">
        <v>732</v>
      </c>
      <c r="I77">
        <v>0</v>
      </c>
      <c r="J77">
        <v>12</v>
      </c>
      <c r="K77">
        <v>3</v>
      </c>
      <c r="L77">
        <v>1</v>
      </c>
      <c r="M77">
        <v>0</v>
      </c>
      <c r="N77" t="s">
        <v>23</v>
      </c>
      <c r="O77">
        <v>0</v>
      </c>
      <c r="P77">
        <v>1</v>
      </c>
      <c r="Q77">
        <v>0</v>
      </c>
    </row>
    <row r="78" spans="1:17" x14ac:dyDescent="0.35">
      <c r="A78">
        <v>4449</v>
      </c>
      <c r="B78" t="s">
        <v>23</v>
      </c>
      <c r="C78">
        <f t="shared" si="1"/>
        <v>731740</v>
      </c>
      <c r="D78">
        <v>2002</v>
      </c>
      <c r="E78" t="s">
        <v>9</v>
      </c>
      <c r="F78">
        <v>731</v>
      </c>
      <c r="G78" t="s">
        <v>6</v>
      </c>
      <c r="H78">
        <v>740</v>
      </c>
      <c r="I78">
        <v>0</v>
      </c>
      <c r="J78">
        <v>7</v>
      </c>
      <c r="K78">
        <v>3</v>
      </c>
      <c r="L78">
        <v>0</v>
      </c>
      <c r="M78">
        <v>1</v>
      </c>
      <c r="N78">
        <v>0</v>
      </c>
      <c r="O78" t="s">
        <v>23</v>
      </c>
      <c r="P78">
        <v>0</v>
      </c>
      <c r="Q78">
        <v>1</v>
      </c>
    </row>
    <row r="79" spans="1:17" x14ac:dyDescent="0.35">
      <c r="A79">
        <v>4451</v>
      </c>
      <c r="B79" t="s">
        <v>23</v>
      </c>
      <c r="C79">
        <f t="shared" si="1"/>
        <v>2731</v>
      </c>
      <c r="D79">
        <v>2002</v>
      </c>
      <c r="E79" t="s">
        <v>8</v>
      </c>
      <c r="F79">
        <v>2</v>
      </c>
      <c r="G79" t="s">
        <v>26</v>
      </c>
      <c r="H79">
        <v>731</v>
      </c>
      <c r="I79">
        <v>0</v>
      </c>
      <c r="J79">
        <v>15</v>
      </c>
      <c r="K79">
        <v>4</v>
      </c>
      <c r="L79">
        <v>1</v>
      </c>
      <c r="M79">
        <v>0</v>
      </c>
      <c r="N79">
        <v>0</v>
      </c>
      <c r="O79" t="s">
        <v>23</v>
      </c>
      <c r="P79">
        <v>0</v>
      </c>
      <c r="Q79">
        <v>1</v>
      </c>
    </row>
    <row r="80" spans="1:17" x14ac:dyDescent="0.35">
      <c r="A80">
        <v>4451</v>
      </c>
      <c r="B80" t="s">
        <v>23</v>
      </c>
      <c r="C80">
        <f t="shared" si="1"/>
        <v>230731</v>
      </c>
      <c r="D80">
        <v>2002</v>
      </c>
      <c r="E80" t="s">
        <v>14</v>
      </c>
      <c r="F80">
        <v>230</v>
      </c>
      <c r="G80" t="s">
        <v>26</v>
      </c>
      <c r="H80">
        <v>731</v>
      </c>
      <c r="I80">
        <v>0</v>
      </c>
      <c r="J80">
        <v>15</v>
      </c>
      <c r="K80">
        <v>4</v>
      </c>
      <c r="L80">
        <v>1</v>
      </c>
      <c r="M80">
        <v>0</v>
      </c>
      <c r="N80">
        <v>0</v>
      </c>
      <c r="O80" t="s">
        <v>23</v>
      </c>
      <c r="P80">
        <v>0</v>
      </c>
      <c r="Q80">
        <v>1</v>
      </c>
    </row>
    <row r="81" spans="1:17" x14ac:dyDescent="0.35">
      <c r="A81">
        <v>4455</v>
      </c>
      <c r="B81" t="s">
        <v>23</v>
      </c>
      <c r="C81">
        <f t="shared" si="1"/>
        <v>2731</v>
      </c>
      <c r="D81">
        <v>2003</v>
      </c>
      <c r="E81" t="s">
        <v>8</v>
      </c>
      <c r="F81">
        <v>2</v>
      </c>
      <c r="G81" t="s">
        <v>9</v>
      </c>
      <c r="H81">
        <v>731</v>
      </c>
      <c r="I81">
        <v>0</v>
      </c>
      <c r="J81">
        <v>7</v>
      </c>
      <c r="K81">
        <v>3</v>
      </c>
      <c r="L81">
        <v>1</v>
      </c>
      <c r="M81">
        <v>0</v>
      </c>
      <c r="N81">
        <v>0</v>
      </c>
      <c r="O81" t="s">
        <v>23</v>
      </c>
      <c r="P81">
        <v>0</v>
      </c>
      <c r="Q81">
        <v>1</v>
      </c>
    </row>
    <row r="82" spans="1:17" x14ac:dyDescent="0.35">
      <c r="A82">
        <v>4456</v>
      </c>
      <c r="B82" t="s">
        <v>23</v>
      </c>
      <c r="C82">
        <f t="shared" si="1"/>
        <v>731740</v>
      </c>
      <c r="D82">
        <v>2003</v>
      </c>
      <c r="E82" t="s">
        <v>9</v>
      </c>
      <c r="F82">
        <v>731</v>
      </c>
      <c r="G82" t="s">
        <v>6</v>
      </c>
      <c r="H82">
        <v>740</v>
      </c>
      <c r="I82">
        <v>0</v>
      </c>
      <c r="J82">
        <v>15</v>
      </c>
      <c r="K82">
        <v>4</v>
      </c>
      <c r="L82">
        <v>0</v>
      </c>
      <c r="M82">
        <v>1</v>
      </c>
      <c r="N82">
        <v>0</v>
      </c>
      <c r="O82" t="s">
        <v>23</v>
      </c>
      <c r="P82">
        <v>0</v>
      </c>
      <c r="Q82">
        <v>1</v>
      </c>
    </row>
    <row r="83" spans="1:17" x14ac:dyDescent="0.35">
      <c r="A83">
        <v>4459</v>
      </c>
      <c r="B83" t="s">
        <v>23</v>
      </c>
      <c r="C83">
        <f t="shared" si="1"/>
        <v>230732</v>
      </c>
      <c r="D83">
        <v>2003</v>
      </c>
      <c r="E83" t="s">
        <v>14</v>
      </c>
      <c r="F83">
        <v>230</v>
      </c>
      <c r="G83" t="s">
        <v>5</v>
      </c>
      <c r="H83">
        <v>732</v>
      </c>
      <c r="I83">
        <v>0</v>
      </c>
      <c r="J83">
        <v>15</v>
      </c>
      <c r="K83">
        <v>4</v>
      </c>
      <c r="L83">
        <v>1</v>
      </c>
      <c r="M83">
        <v>0</v>
      </c>
      <c r="N83" t="s">
        <v>23</v>
      </c>
      <c r="O83">
        <v>0</v>
      </c>
      <c r="P83">
        <v>1</v>
      </c>
      <c r="Q83">
        <v>0</v>
      </c>
    </row>
    <row r="84" spans="1:17" x14ac:dyDescent="0.35">
      <c r="A84">
        <v>4463</v>
      </c>
      <c r="B84" t="s">
        <v>23</v>
      </c>
      <c r="C84">
        <f t="shared" si="1"/>
        <v>710731</v>
      </c>
      <c r="D84">
        <v>2003</v>
      </c>
      <c r="E84" t="s">
        <v>7</v>
      </c>
      <c r="F84">
        <v>710</v>
      </c>
      <c r="G84" t="s">
        <v>9</v>
      </c>
      <c r="H84">
        <v>731</v>
      </c>
      <c r="I84">
        <v>0</v>
      </c>
      <c r="J84">
        <v>11</v>
      </c>
      <c r="K84">
        <v>3</v>
      </c>
      <c r="L84">
        <v>1</v>
      </c>
      <c r="M84">
        <v>0</v>
      </c>
      <c r="N84">
        <v>0</v>
      </c>
      <c r="O84" t="s">
        <v>23</v>
      </c>
      <c r="P84">
        <v>0</v>
      </c>
      <c r="Q84">
        <v>1</v>
      </c>
    </row>
    <row r="85" spans="1:17" x14ac:dyDescent="0.35">
      <c r="A85">
        <v>4465</v>
      </c>
      <c r="B85" t="s">
        <v>23</v>
      </c>
      <c r="C85">
        <f t="shared" si="1"/>
        <v>2731</v>
      </c>
      <c r="D85">
        <v>2004</v>
      </c>
      <c r="E85" t="s">
        <v>8</v>
      </c>
      <c r="F85">
        <v>2</v>
      </c>
      <c r="G85" t="s">
        <v>9</v>
      </c>
      <c r="H85">
        <v>731</v>
      </c>
      <c r="I85">
        <v>0</v>
      </c>
      <c r="J85">
        <v>7</v>
      </c>
      <c r="K85">
        <v>3</v>
      </c>
      <c r="L85">
        <v>1</v>
      </c>
      <c r="M85">
        <v>0</v>
      </c>
      <c r="N85">
        <v>0</v>
      </c>
      <c r="O85" t="s">
        <v>23</v>
      </c>
      <c r="P85">
        <v>0</v>
      </c>
      <c r="Q85">
        <v>1</v>
      </c>
    </row>
    <row r="86" spans="1:17" x14ac:dyDescent="0.35">
      <c r="A86">
        <v>4466</v>
      </c>
      <c r="B86" t="s">
        <v>23</v>
      </c>
      <c r="C86">
        <f t="shared" si="1"/>
        <v>710731</v>
      </c>
      <c r="D86">
        <v>2004</v>
      </c>
      <c r="E86" t="s">
        <v>7</v>
      </c>
      <c r="F86">
        <v>710</v>
      </c>
      <c r="G86" t="s">
        <v>9</v>
      </c>
      <c r="H86">
        <v>731</v>
      </c>
      <c r="I86">
        <v>0</v>
      </c>
      <c r="J86">
        <v>11</v>
      </c>
      <c r="K86">
        <v>3</v>
      </c>
      <c r="L86">
        <v>1</v>
      </c>
      <c r="M86">
        <v>0</v>
      </c>
      <c r="N86">
        <v>0</v>
      </c>
      <c r="O86" t="s">
        <v>23</v>
      </c>
      <c r="P86">
        <v>0</v>
      </c>
      <c r="Q86">
        <v>1</v>
      </c>
    </row>
    <row r="87" spans="1:17" x14ac:dyDescent="0.35">
      <c r="A87">
        <v>4468</v>
      </c>
      <c r="B87" t="s">
        <v>23</v>
      </c>
      <c r="C87">
        <f t="shared" si="1"/>
        <v>732740</v>
      </c>
      <c r="D87">
        <v>2005</v>
      </c>
      <c r="E87" t="s">
        <v>5</v>
      </c>
      <c r="F87">
        <v>732</v>
      </c>
      <c r="G87" t="s">
        <v>6</v>
      </c>
      <c r="H87">
        <v>740</v>
      </c>
      <c r="I87">
        <v>0</v>
      </c>
      <c r="J87">
        <v>7</v>
      </c>
      <c r="K87">
        <v>3</v>
      </c>
      <c r="L87">
        <v>0</v>
      </c>
      <c r="M87">
        <v>1</v>
      </c>
      <c r="N87" t="s">
        <v>23</v>
      </c>
      <c r="O87">
        <v>0</v>
      </c>
      <c r="P87">
        <v>1</v>
      </c>
      <c r="Q87">
        <v>0</v>
      </c>
    </row>
    <row r="88" spans="1:17" x14ac:dyDescent="0.35">
      <c r="A88">
        <v>4473</v>
      </c>
      <c r="B88" t="s">
        <v>23</v>
      </c>
      <c r="C88">
        <f t="shared" si="1"/>
        <v>731732</v>
      </c>
      <c r="D88">
        <v>2005</v>
      </c>
      <c r="E88" t="s">
        <v>9</v>
      </c>
      <c r="F88">
        <v>731</v>
      </c>
      <c r="G88" t="s">
        <v>5</v>
      </c>
      <c r="H88">
        <v>732</v>
      </c>
      <c r="I88">
        <v>0</v>
      </c>
      <c r="J88">
        <v>17</v>
      </c>
      <c r="K88">
        <v>4</v>
      </c>
      <c r="L88">
        <v>1</v>
      </c>
      <c r="M88">
        <v>0</v>
      </c>
      <c r="N88">
        <v>1</v>
      </c>
      <c r="O88">
        <v>0</v>
      </c>
      <c r="P88">
        <v>1</v>
      </c>
      <c r="Q88">
        <v>1</v>
      </c>
    </row>
    <row r="89" spans="1:17" x14ac:dyDescent="0.35">
      <c r="A89">
        <v>4476</v>
      </c>
      <c r="B89" t="s">
        <v>23</v>
      </c>
      <c r="C89">
        <f t="shared" si="1"/>
        <v>732740</v>
      </c>
      <c r="D89">
        <v>2006</v>
      </c>
      <c r="E89" t="s">
        <v>5</v>
      </c>
      <c r="F89">
        <v>732</v>
      </c>
      <c r="G89" t="s">
        <v>6</v>
      </c>
      <c r="H89">
        <v>740</v>
      </c>
      <c r="I89">
        <v>0</v>
      </c>
      <c r="J89">
        <v>7</v>
      </c>
      <c r="K89">
        <v>3</v>
      </c>
      <c r="L89">
        <v>1</v>
      </c>
      <c r="M89">
        <v>0</v>
      </c>
      <c r="N89" t="s">
        <v>23</v>
      </c>
      <c r="O89">
        <v>1</v>
      </c>
      <c r="P89">
        <v>1</v>
      </c>
      <c r="Q89">
        <v>0</v>
      </c>
    </row>
    <row r="90" spans="1:17" x14ac:dyDescent="0.35">
      <c r="A90">
        <v>4479</v>
      </c>
      <c r="B90" t="s">
        <v>23</v>
      </c>
      <c r="C90">
        <f t="shared" si="1"/>
        <v>731732</v>
      </c>
      <c r="D90">
        <v>2007</v>
      </c>
      <c r="E90" t="s">
        <v>9</v>
      </c>
      <c r="F90">
        <v>731</v>
      </c>
      <c r="G90" t="s">
        <v>5</v>
      </c>
      <c r="H90">
        <v>732</v>
      </c>
      <c r="I90">
        <v>0</v>
      </c>
      <c r="J90">
        <v>1</v>
      </c>
      <c r="K90">
        <v>2</v>
      </c>
      <c r="L90">
        <v>1</v>
      </c>
      <c r="M90">
        <v>0</v>
      </c>
      <c r="N90">
        <v>1</v>
      </c>
      <c r="O90">
        <v>0</v>
      </c>
      <c r="P90">
        <v>1</v>
      </c>
      <c r="Q90">
        <v>1</v>
      </c>
    </row>
    <row r="91" spans="1:17" x14ac:dyDescent="0.35">
      <c r="A91">
        <v>4481</v>
      </c>
      <c r="B91" t="s">
        <v>23</v>
      </c>
      <c r="C91">
        <f t="shared" si="1"/>
        <v>731732</v>
      </c>
      <c r="D91">
        <v>2008</v>
      </c>
      <c r="E91" t="s">
        <v>9</v>
      </c>
      <c r="F91">
        <v>731</v>
      </c>
      <c r="G91" t="s">
        <v>5</v>
      </c>
      <c r="H91">
        <v>732</v>
      </c>
      <c r="I91">
        <v>0</v>
      </c>
      <c r="J91">
        <v>7</v>
      </c>
      <c r="K91">
        <v>3</v>
      </c>
      <c r="L91">
        <v>1</v>
      </c>
      <c r="M91">
        <v>0</v>
      </c>
      <c r="N91">
        <v>1</v>
      </c>
      <c r="O91">
        <v>0</v>
      </c>
      <c r="P91">
        <v>1</v>
      </c>
      <c r="Q91">
        <v>1</v>
      </c>
    </row>
    <row r="92" spans="1:17" x14ac:dyDescent="0.35">
      <c r="A92">
        <v>4483</v>
      </c>
      <c r="B92" t="s">
        <v>23</v>
      </c>
      <c r="C92">
        <f t="shared" si="1"/>
        <v>731732</v>
      </c>
      <c r="D92">
        <v>2009</v>
      </c>
      <c r="E92" t="s">
        <v>9</v>
      </c>
      <c r="F92">
        <v>731</v>
      </c>
      <c r="G92" t="s">
        <v>5</v>
      </c>
      <c r="H92">
        <v>732</v>
      </c>
      <c r="I92">
        <v>2</v>
      </c>
      <c r="J92">
        <v>17</v>
      </c>
      <c r="K92">
        <v>4</v>
      </c>
      <c r="L92">
        <v>0</v>
      </c>
      <c r="M92">
        <v>1</v>
      </c>
      <c r="N92">
        <v>0</v>
      </c>
      <c r="O92">
        <v>1</v>
      </c>
      <c r="P92">
        <v>1</v>
      </c>
      <c r="Q92">
        <v>1</v>
      </c>
    </row>
    <row r="93" spans="1:17" x14ac:dyDescent="0.35">
      <c r="A93">
        <v>4490</v>
      </c>
      <c r="B93" t="s">
        <v>23</v>
      </c>
      <c r="C93">
        <f t="shared" si="1"/>
        <v>710731</v>
      </c>
      <c r="D93">
        <v>2010</v>
      </c>
      <c r="E93" t="s">
        <v>7</v>
      </c>
      <c r="F93">
        <v>710</v>
      </c>
      <c r="G93" t="s">
        <v>9</v>
      </c>
      <c r="H93">
        <v>731</v>
      </c>
      <c r="I93">
        <v>0</v>
      </c>
      <c r="J93">
        <v>16</v>
      </c>
      <c r="K93">
        <v>4</v>
      </c>
      <c r="L93">
        <v>0</v>
      </c>
      <c r="M93">
        <v>1</v>
      </c>
      <c r="N93">
        <v>1</v>
      </c>
      <c r="O93" t="s">
        <v>23</v>
      </c>
      <c r="P93">
        <v>0</v>
      </c>
      <c r="Q93">
        <v>1</v>
      </c>
    </row>
    <row r="94" spans="1:17" x14ac:dyDescent="0.35">
      <c r="A94">
        <v>4493</v>
      </c>
      <c r="B94" t="s">
        <v>23</v>
      </c>
      <c r="C94">
        <f t="shared" si="1"/>
        <v>710732</v>
      </c>
      <c r="D94">
        <v>2010</v>
      </c>
      <c r="E94" t="s">
        <v>7</v>
      </c>
      <c r="F94">
        <v>710</v>
      </c>
      <c r="G94" t="s">
        <v>5</v>
      </c>
      <c r="H94">
        <v>732</v>
      </c>
      <c r="I94">
        <v>0</v>
      </c>
      <c r="J94">
        <v>7</v>
      </c>
      <c r="K94">
        <v>3</v>
      </c>
      <c r="L94">
        <v>0</v>
      </c>
      <c r="M94">
        <v>1</v>
      </c>
      <c r="N94" t="s">
        <v>23</v>
      </c>
      <c r="O94">
        <v>1</v>
      </c>
      <c r="P94">
        <v>1</v>
      </c>
      <c r="Q9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heetViews>
  <sheetFormatPr defaultRowHeight="14.5" x14ac:dyDescent="0.35"/>
  <cols>
    <col min="1" max="3" width="12.7265625" style="9" customWidth="1"/>
    <col min="4" max="5" width="12.7265625" style="6" customWidth="1"/>
    <col min="6" max="9" width="12.7265625" style="9" customWidth="1"/>
    <col min="10" max="11" width="12.7265625" style="6" customWidth="1"/>
  </cols>
  <sheetData>
    <row r="1" spans="1:11" ht="75" x14ac:dyDescent="0.35">
      <c r="A1" s="11" t="s">
        <v>27</v>
      </c>
      <c r="B1" s="11" t="s">
        <v>28</v>
      </c>
      <c r="C1" s="11" t="s">
        <v>31</v>
      </c>
      <c r="D1" s="10" t="s">
        <v>32</v>
      </c>
      <c r="E1" s="10" t="s">
        <v>33</v>
      </c>
      <c r="F1" s="11" t="s">
        <v>29</v>
      </c>
      <c r="G1" s="11" t="s">
        <v>30</v>
      </c>
      <c r="H1" s="11" t="s">
        <v>64</v>
      </c>
      <c r="I1" s="11" t="s">
        <v>69</v>
      </c>
      <c r="J1" s="10" t="s">
        <v>67</v>
      </c>
      <c r="K1" s="10" t="s">
        <v>68</v>
      </c>
    </row>
    <row r="2" spans="1:11" x14ac:dyDescent="0.35">
      <c r="A2" s="9">
        <v>1955</v>
      </c>
      <c r="B2" s="9">
        <v>2</v>
      </c>
      <c r="C2" s="9">
        <v>0</v>
      </c>
      <c r="D2" s="6">
        <f>AVERAGE(15,17)</f>
        <v>16</v>
      </c>
      <c r="E2" s="6">
        <f>AVERAGE(4,4,)</f>
        <v>2.6666666666666665</v>
      </c>
      <c r="F2" s="9">
        <v>0</v>
      </c>
      <c r="G2" s="9">
        <v>1</v>
      </c>
      <c r="H2" s="9">
        <f>F2+G2</f>
        <v>1</v>
      </c>
      <c r="I2" s="9">
        <v>0</v>
      </c>
      <c r="J2" s="6">
        <f>AVERAGE(15)</f>
        <v>15</v>
      </c>
      <c r="K2" s="6">
        <f>AVERAGE(4)</f>
        <v>4</v>
      </c>
    </row>
    <row r="3" spans="1:11" x14ac:dyDescent="0.35">
      <c r="A3" s="9">
        <v>1956</v>
      </c>
      <c r="B3" s="9">
        <v>0</v>
      </c>
      <c r="C3" s="9" t="s">
        <v>23</v>
      </c>
      <c r="D3" s="6" t="s">
        <v>23</v>
      </c>
      <c r="E3" s="6" t="s">
        <v>23</v>
      </c>
      <c r="F3" s="9">
        <v>0</v>
      </c>
      <c r="G3" s="9">
        <v>0</v>
      </c>
      <c r="H3" s="9">
        <f t="shared" ref="H3:H57" si="0">F3+G3</f>
        <v>0</v>
      </c>
      <c r="I3" s="9" t="s">
        <v>23</v>
      </c>
      <c r="J3" s="6" t="s">
        <v>23</v>
      </c>
      <c r="K3" s="6" t="s">
        <v>23</v>
      </c>
    </row>
    <row r="4" spans="1:11" x14ac:dyDescent="0.35">
      <c r="A4" s="9">
        <v>1957</v>
      </c>
      <c r="B4" s="9">
        <v>0</v>
      </c>
      <c r="C4" s="9" t="s">
        <v>23</v>
      </c>
      <c r="D4" s="6" t="s">
        <v>23</v>
      </c>
      <c r="E4" s="6" t="s">
        <v>23</v>
      </c>
      <c r="F4" s="9">
        <v>0</v>
      </c>
      <c r="G4" s="9">
        <v>0</v>
      </c>
      <c r="H4" s="9">
        <f t="shared" si="0"/>
        <v>0</v>
      </c>
      <c r="I4" s="9" t="s">
        <v>23</v>
      </c>
      <c r="J4" s="6" t="s">
        <v>23</v>
      </c>
      <c r="K4" s="6" t="s">
        <v>23</v>
      </c>
    </row>
    <row r="5" spans="1:11" x14ac:dyDescent="0.35">
      <c r="A5" s="9">
        <v>1958</v>
      </c>
      <c r="B5" s="9">
        <v>3</v>
      </c>
      <c r="C5" s="9">
        <v>2</v>
      </c>
      <c r="D5" s="6">
        <f>AVERAGE(15, 17,17)</f>
        <v>16.333333333333332</v>
      </c>
      <c r="E5" s="6">
        <f>AVERAGE(4,4,4)</f>
        <v>4</v>
      </c>
      <c r="F5" s="9">
        <v>2</v>
      </c>
      <c r="G5" s="9">
        <v>1</v>
      </c>
      <c r="H5" s="9">
        <f t="shared" si="0"/>
        <v>3</v>
      </c>
      <c r="I5" s="9">
        <v>2</v>
      </c>
      <c r="J5" s="6">
        <f>AVERAGE(15,17,17)</f>
        <v>16.333333333333332</v>
      </c>
      <c r="K5" s="6">
        <f>AVERAGE(4,4,4,)</f>
        <v>3</v>
      </c>
    </row>
    <row r="6" spans="1:11" x14ac:dyDescent="0.35">
      <c r="A6" s="9">
        <v>1959</v>
      </c>
      <c r="B6" s="9">
        <v>3</v>
      </c>
      <c r="C6" s="9">
        <v>1</v>
      </c>
      <c r="D6" s="6">
        <f>AVERAGE(16,8,16)</f>
        <v>13.333333333333334</v>
      </c>
      <c r="E6" s="6">
        <f>AVERAGE(4,3,4)</f>
        <v>3.6666666666666665</v>
      </c>
      <c r="F6" s="9">
        <v>0</v>
      </c>
      <c r="G6" s="9">
        <v>3</v>
      </c>
      <c r="H6" s="9">
        <f t="shared" si="0"/>
        <v>3</v>
      </c>
      <c r="I6" s="9">
        <v>1</v>
      </c>
      <c r="J6" s="6">
        <f>AVERAGE(16,8,16)</f>
        <v>13.333333333333334</v>
      </c>
      <c r="K6" s="6">
        <f>AVERAGE(4,3,4)</f>
        <v>3.6666666666666665</v>
      </c>
    </row>
    <row r="7" spans="1:11" x14ac:dyDescent="0.35">
      <c r="A7" s="9">
        <v>1960</v>
      </c>
      <c r="B7" s="9">
        <v>2</v>
      </c>
      <c r="C7" s="9">
        <v>1</v>
      </c>
      <c r="D7" s="6">
        <f>AVERAGE(17,16)</f>
        <v>16.5</v>
      </c>
      <c r="E7" s="6">
        <f>AVERAGE(4,4)</f>
        <v>4</v>
      </c>
      <c r="F7" s="9">
        <v>0</v>
      </c>
      <c r="G7" s="9">
        <v>1</v>
      </c>
      <c r="H7" s="9">
        <f t="shared" si="0"/>
        <v>1</v>
      </c>
      <c r="I7" s="9">
        <v>0</v>
      </c>
      <c r="J7" s="6">
        <v>16</v>
      </c>
      <c r="K7" s="6">
        <v>4</v>
      </c>
    </row>
    <row r="8" spans="1:11" x14ac:dyDescent="0.35">
      <c r="A8" s="9">
        <v>1961</v>
      </c>
      <c r="B8" s="9">
        <v>2</v>
      </c>
      <c r="C8" s="9">
        <v>0</v>
      </c>
      <c r="D8" s="6">
        <f>AVERAGE(15,15)</f>
        <v>15</v>
      </c>
      <c r="E8" s="6">
        <f>AVERAGE(4,4)</f>
        <v>4</v>
      </c>
      <c r="F8" s="9">
        <v>0</v>
      </c>
      <c r="G8" s="9">
        <v>2</v>
      </c>
      <c r="H8" s="9">
        <f t="shared" si="0"/>
        <v>2</v>
      </c>
      <c r="I8" s="9">
        <v>0</v>
      </c>
      <c r="J8" s="6">
        <f>AVERAGE(15,15)</f>
        <v>15</v>
      </c>
      <c r="K8" s="6">
        <f>AVERAGE(4,4)</f>
        <v>4</v>
      </c>
    </row>
    <row r="9" spans="1:11" x14ac:dyDescent="0.35">
      <c r="A9" s="9">
        <v>1962</v>
      </c>
      <c r="B9" s="9">
        <v>3</v>
      </c>
      <c r="C9" s="9">
        <v>2</v>
      </c>
      <c r="D9" s="6">
        <f>AVERAGE(17,17,15)</f>
        <v>16.333333333333332</v>
      </c>
      <c r="E9" s="6">
        <f>AVERAGE(4,4,4)</f>
        <v>4</v>
      </c>
      <c r="F9" s="9">
        <v>2</v>
      </c>
      <c r="G9" s="9">
        <v>1</v>
      </c>
      <c r="H9" s="9">
        <f t="shared" si="0"/>
        <v>3</v>
      </c>
      <c r="I9" s="9">
        <v>2</v>
      </c>
      <c r="J9" s="6">
        <f>AVERAGE(17,17,15)</f>
        <v>16.333333333333332</v>
      </c>
      <c r="K9" s="6">
        <f>AVERAGE(4,4,4)</f>
        <v>4</v>
      </c>
    </row>
    <row r="10" spans="1:11" x14ac:dyDescent="0.35">
      <c r="A10" s="9">
        <v>1963</v>
      </c>
      <c r="B10" s="9">
        <v>3</v>
      </c>
      <c r="C10" s="9">
        <v>2</v>
      </c>
      <c r="D10" s="6">
        <f>AVERAGE(17,17,15)</f>
        <v>16.333333333333332</v>
      </c>
      <c r="E10" s="6">
        <f>AVERAGE(4,4,4)</f>
        <v>4</v>
      </c>
      <c r="F10" s="9">
        <v>2</v>
      </c>
      <c r="G10" s="9">
        <v>1</v>
      </c>
      <c r="H10" s="9">
        <f t="shared" si="0"/>
        <v>3</v>
      </c>
      <c r="I10" s="9">
        <v>2</v>
      </c>
      <c r="J10" s="6">
        <f>AVERAGE(17,17,15)</f>
        <v>16.333333333333332</v>
      </c>
      <c r="K10" s="6">
        <f>AVERAGE(4,4,4)</f>
        <v>4</v>
      </c>
    </row>
    <row r="11" spans="1:11" x14ac:dyDescent="0.35">
      <c r="A11" s="9">
        <v>1964</v>
      </c>
      <c r="B11" s="9">
        <v>3</v>
      </c>
      <c r="C11" s="9">
        <v>2</v>
      </c>
      <c r="D11" s="6">
        <f>AVERAGE(17,17,15)</f>
        <v>16.333333333333332</v>
      </c>
      <c r="E11" s="6">
        <f>AVERAGE(4,4,4)</f>
        <v>4</v>
      </c>
      <c r="F11" s="9">
        <v>0</v>
      </c>
      <c r="G11" s="9">
        <v>2</v>
      </c>
      <c r="H11" s="9">
        <f t="shared" si="0"/>
        <v>2</v>
      </c>
      <c r="I11" s="9">
        <v>1</v>
      </c>
      <c r="J11" s="6">
        <f>AVERAGE(17,15)</f>
        <v>16</v>
      </c>
      <c r="K11" s="6">
        <f>AVERAGE(4,4)</f>
        <v>4</v>
      </c>
    </row>
    <row r="12" spans="1:11" x14ac:dyDescent="0.35">
      <c r="A12" s="9">
        <v>1965</v>
      </c>
      <c r="B12" s="9">
        <v>1</v>
      </c>
      <c r="C12" s="9">
        <v>0</v>
      </c>
      <c r="D12" s="6">
        <v>16</v>
      </c>
      <c r="E12" s="6">
        <v>4</v>
      </c>
      <c r="F12" s="9">
        <v>1</v>
      </c>
      <c r="G12" s="9">
        <v>0</v>
      </c>
      <c r="H12" s="9">
        <f t="shared" si="0"/>
        <v>1</v>
      </c>
      <c r="I12" s="9">
        <v>0</v>
      </c>
      <c r="J12" s="6">
        <v>16</v>
      </c>
      <c r="K12" s="6">
        <v>4</v>
      </c>
    </row>
    <row r="13" spans="1:11" x14ac:dyDescent="0.35">
      <c r="A13" s="9">
        <v>1966</v>
      </c>
      <c r="B13" s="9">
        <v>2</v>
      </c>
      <c r="C13" s="9">
        <v>0</v>
      </c>
      <c r="D13" s="6">
        <f>AVERAGE(15,15)</f>
        <v>15</v>
      </c>
      <c r="E13" s="6">
        <f>AVERAGE(4,4)</f>
        <v>4</v>
      </c>
      <c r="F13" s="9">
        <v>0</v>
      </c>
      <c r="G13" s="9">
        <v>1</v>
      </c>
      <c r="H13" s="9">
        <f t="shared" si="0"/>
        <v>1</v>
      </c>
      <c r="I13" s="9">
        <v>0</v>
      </c>
      <c r="J13" s="6">
        <v>15</v>
      </c>
      <c r="K13" s="6">
        <v>4</v>
      </c>
    </row>
    <row r="14" spans="1:11" x14ac:dyDescent="0.35">
      <c r="A14" s="9">
        <v>1967</v>
      </c>
      <c r="B14" s="9">
        <v>1</v>
      </c>
      <c r="C14" s="9">
        <v>0</v>
      </c>
      <c r="D14" s="6">
        <v>16</v>
      </c>
      <c r="E14" s="6">
        <v>4</v>
      </c>
      <c r="F14" s="9">
        <v>0</v>
      </c>
      <c r="G14" s="9">
        <v>0</v>
      </c>
      <c r="H14" s="9">
        <f t="shared" si="0"/>
        <v>0</v>
      </c>
      <c r="I14" s="9" t="s">
        <v>23</v>
      </c>
      <c r="J14" s="6" t="s">
        <v>23</v>
      </c>
      <c r="K14" s="6" t="s">
        <v>23</v>
      </c>
    </row>
    <row r="15" spans="1:11" x14ac:dyDescent="0.35">
      <c r="A15" s="9">
        <v>1968</v>
      </c>
      <c r="B15" s="9">
        <v>1</v>
      </c>
      <c r="C15" s="9">
        <v>0</v>
      </c>
      <c r="D15" s="6">
        <v>15</v>
      </c>
      <c r="E15" s="6">
        <v>4</v>
      </c>
      <c r="F15" s="9">
        <v>1</v>
      </c>
      <c r="G15" s="9">
        <v>0</v>
      </c>
      <c r="H15" s="9">
        <f t="shared" si="0"/>
        <v>1</v>
      </c>
      <c r="I15" s="9">
        <v>0</v>
      </c>
      <c r="J15" s="6">
        <v>15</v>
      </c>
      <c r="K15" s="6">
        <v>4</v>
      </c>
    </row>
    <row r="16" spans="1:11" x14ac:dyDescent="0.35">
      <c r="A16" s="9">
        <v>1969</v>
      </c>
      <c r="B16" s="9">
        <v>1</v>
      </c>
      <c r="C16" s="9">
        <v>1</v>
      </c>
      <c r="D16" s="6">
        <v>7</v>
      </c>
      <c r="E16" s="6">
        <v>3</v>
      </c>
      <c r="F16" s="9">
        <v>1</v>
      </c>
      <c r="G16" s="9">
        <v>0</v>
      </c>
      <c r="H16" s="9">
        <f t="shared" si="0"/>
        <v>1</v>
      </c>
      <c r="I16" s="9">
        <v>1</v>
      </c>
      <c r="J16" s="6">
        <v>7</v>
      </c>
      <c r="K16" s="6">
        <v>3</v>
      </c>
    </row>
    <row r="17" spans="1:11" x14ac:dyDescent="0.35">
      <c r="A17" s="9">
        <v>1970</v>
      </c>
      <c r="B17" s="9">
        <v>1</v>
      </c>
      <c r="C17" s="9">
        <v>1</v>
      </c>
      <c r="D17" s="6">
        <v>17</v>
      </c>
      <c r="E17" s="6">
        <v>4</v>
      </c>
      <c r="F17" s="9">
        <v>1</v>
      </c>
      <c r="G17" s="9">
        <v>0</v>
      </c>
      <c r="H17" s="9">
        <f t="shared" si="0"/>
        <v>1</v>
      </c>
      <c r="I17" s="9">
        <v>1</v>
      </c>
      <c r="J17" s="6">
        <v>17</v>
      </c>
      <c r="K17" s="6">
        <v>4</v>
      </c>
    </row>
    <row r="18" spans="1:11" x14ac:dyDescent="0.35">
      <c r="A18" s="9">
        <v>1971</v>
      </c>
      <c r="B18" s="9">
        <v>0</v>
      </c>
      <c r="C18" s="9" t="s">
        <v>23</v>
      </c>
      <c r="D18" s="6" t="s">
        <v>23</v>
      </c>
      <c r="E18" s="6" t="s">
        <v>23</v>
      </c>
      <c r="F18" s="9">
        <v>0</v>
      </c>
      <c r="G18" s="9">
        <v>0</v>
      </c>
      <c r="H18" s="9">
        <f t="shared" si="0"/>
        <v>0</v>
      </c>
      <c r="I18" s="9" t="s">
        <v>23</v>
      </c>
      <c r="J18" s="6" t="s">
        <v>23</v>
      </c>
      <c r="K18" s="6" t="s">
        <v>23</v>
      </c>
    </row>
    <row r="19" spans="1:11" x14ac:dyDescent="0.35">
      <c r="A19" s="9">
        <v>1972</v>
      </c>
      <c r="B19" s="9">
        <v>0</v>
      </c>
      <c r="C19" s="9" t="s">
        <v>23</v>
      </c>
      <c r="D19" s="6" t="s">
        <v>23</v>
      </c>
      <c r="E19" s="6" t="s">
        <v>23</v>
      </c>
      <c r="F19" s="9">
        <v>0</v>
      </c>
      <c r="G19" s="9">
        <v>0</v>
      </c>
      <c r="H19" s="9">
        <f t="shared" si="0"/>
        <v>0</v>
      </c>
      <c r="I19" s="9" t="s">
        <v>23</v>
      </c>
      <c r="J19" s="6" t="s">
        <v>23</v>
      </c>
      <c r="K19" s="6" t="s">
        <v>23</v>
      </c>
    </row>
    <row r="20" spans="1:11" x14ac:dyDescent="0.35">
      <c r="A20" s="9">
        <v>1973</v>
      </c>
      <c r="B20" s="9">
        <v>0</v>
      </c>
      <c r="C20" s="9" t="s">
        <v>23</v>
      </c>
      <c r="D20" s="6" t="s">
        <v>23</v>
      </c>
      <c r="E20" s="6" t="s">
        <v>23</v>
      </c>
      <c r="F20" s="9">
        <v>0</v>
      </c>
      <c r="G20" s="9">
        <v>0</v>
      </c>
      <c r="H20" s="9">
        <f t="shared" si="0"/>
        <v>0</v>
      </c>
      <c r="I20" s="9" t="s">
        <v>23</v>
      </c>
      <c r="J20" s="6" t="s">
        <v>23</v>
      </c>
      <c r="K20" s="6" t="s">
        <v>23</v>
      </c>
    </row>
    <row r="21" spans="1:11" x14ac:dyDescent="0.35">
      <c r="A21" s="9">
        <v>1974</v>
      </c>
      <c r="B21" s="9">
        <v>1</v>
      </c>
      <c r="C21" s="9">
        <v>1</v>
      </c>
      <c r="D21" s="6">
        <v>16</v>
      </c>
      <c r="E21" s="6">
        <v>4</v>
      </c>
      <c r="F21" s="9">
        <v>1</v>
      </c>
      <c r="G21" s="9">
        <v>0</v>
      </c>
      <c r="H21" s="9">
        <f t="shared" si="0"/>
        <v>1</v>
      </c>
      <c r="I21" s="9">
        <v>1</v>
      </c>
      <c r="J21" s="6">
        <v>16</v>
      </c>
      <c r="K21" s="6">
        <v>4</v>
      </c>
    </row>
    <row r="22" spans="1:11" x14ac:dyDescent="0.35">
      <c r="A22" s="9">
        <v>1975</v>
      </c>
      <c r="B22" s="9">
        <v>1</v>
      </c>
      <c r="C22" s="9">
        <v>1</v>
      </c>
      <c r="D22" s="6">
        <v>17</v>
      </c>
      <c r="E22" s="6">
        <v>4</v>
      </c>
      <c r="F22" s="9">
        <v>0</v>
      </c>
      <c r="G22" s="9">
        <v>1</v>
      </c>
      <c r="H22" s="9">
        <f t="shared" si="0"/>
        <v>1</v>
      </c>
      <c r="I22" s="9">
        <v>1</v>
      </c>
      <c r="J22" s="6">
        <v>17</v>
      </c>
      <c r="K22" s="6">
        <v>4</v>
      </c>
    </row>
    <row r="23" spans="1:11" x14ac:dyDescent="0.35">
      <c r="A23" s="9">
        <v>1976</v>
      </c>
      <c r="B23" s="9">
        <v>3</v>
      </c>
      <c r="C23" s="9">
        <v>1</v>
      </c>
      <c r="D23" s="6">
        <f>AVERAGE(17, 15,12)</f>
        <v>14.666666666666666</v>
      </c>
      <c r="E23" s="6">
        <f>AVERAGE(4,4,3)</f>
        <v>3.6666666666666665</v>
      </c>
      <c r="F23" s="9">
        <v>1</v>
      </c>
      <c r="G23" s="9">
        <v>0</v>
      </c>
      <c r="H23" s="9">
        <f t="shared" si="0"/>
        <v>1</v>
      </c>
      <c r="I23" s="9">
        <v>1</v>
      </c>
      <c r="J23" s="6">
        <v>17</v>
      </c>
      <c r="K23" s="6">
        <v>4</v>
      </c>
    </row>
    <row r="24" spans="1:11" x14ac:dyDescent="0.35">
      <c r="A24" s="9">
        <v>1977</v>
      </c>
      <c r="B24" s="9">
        <v>2</v>
      </c>
      <c r="C24" s="9">
        <v>1</v>
      </c>
      <c r="D24" s="6">
        <f>AVERAGE(17,15)</f>
        <v>16</v>
      </c>
      <c r="E24" s="6">
        <f>AVERAGE(4,4)</f>
        <v>4</v>
      </c>
      <c r="F24" s="9">
        <v>2</v>
      </c>
      <c r="G24" s="9">
        <v>0</v>
      </c>
      <c r="H24" s="9">
        <f t="shared" si="0"/>
        <v>2</v>
      </c>
      <c r="I24" s="9">
        <v>1</v>
      </c>
      <c r="J24" s="6">
        <f>AVERAGE(17,15)</f>
        <v>16</v>
      </c>
      <c r="K24" s="6">
        <f>AVERAGE(4,4)</f>
        <v>4</v>
      </c>
    </row>
    <row r="25" spans="1:11" x14ac:dyDescent="0.35">
      <c r="A25" s="9">
        <v>1978</v>
      </c>
      <c r="B25" s="9">
        <v>1</v>
      </c>
      <c r="C25" s="9">
        <v>0</v>
      </c>
      <c r="D25" s="6">
        <v>16</v>
      </c>
      <c r="E25" s="6">
        <v>4</v>
      </c>
      <c r="F25" s="9">
        <v>0</v>
      </c>
      <c r="G25" s="9">
        <v>0</v>
      </c>
      <c r="H25" s="9">
        <f t="shared" si="0"/>
        <v>0</v>
      </c>
      <c r="I25" s="9" t="s">
        <v>23</v>
      </c>
      <c r="J25" s="6" t="s">
        <v>23</v>
      </c>
      <c r="K25" s="6" t="s">
        <v>23</v>
      </c>
    </row>
    <row r="26" spans="1:11" x14ac:dyDescent="0.35">
      <c r="A26" s="9">
        <v>1979</v>
      </c>
      <c r="B26" s="9">
        <v>1</v>
      </c>
      <c r="C26" s="9">
        <v>1</v>
      </c>
      <c r="D26" s="6">
        <f>AVERAGE(17)</f>
        <v>17</v>
      </c>
      <c r="E26" s="6">
        <f>AVERAGE(4)</f>
        <v>4</v>
      </c>
      <c r="F26" s="9">
        <v>1</v>
      </c>
      <c r="G26" s="9">
        <v>0</v>
      </c>
      <c r="H26" s="9">
        <f t="shared" si="0"/>
        <v>1</v>
      </c>
      <c r="I26" s="9">
        <v>1</v>
      </c>
      <c r="J26" s="6">
        <v>17</v>
      </c>
      <c r="K26" s="6">
        <v>4</v>
      </c>
    </row>
    <row r="27" spans="1:11" x14ac:dyDescent="0.35">
      <c r="A27" s="9">
        <v>1980</v>
      </c>
      <c r="B27" s="9">
        <v>0</v>
      </c>
      <c r="C27" s="9" t="s">
        <v>23</v>
      </c>
      <c r="D27" s="6" t="s">
        <v>23</v>
      </c>
      <c r="E27" s="6" t="s">
        <v>23</v>
      </c>
      <c r="F27" s="9">
        <v>0</v>
      </c>
      <c r="G27" s="9">
        <v>0</v>
      </c>
      <c r="H27" s="9">
        <f t="shared" si="0"/>
        <v>0</v>
      </c>
      <c r="I27" s="9" t="s">
        <v>23</v>
      </c>
      <c r="J27" s="6" t="s">
        <v>23</v>
      </c>
      <c r="K27" s="6" t="s">
        <v>23</v>
      </c>
    </row>
    <row r="28" spans="1:11" x14ac:dyDescent="0.35">
      <c r="A28" s="9">
        <v>1981</v>
      </c>
      <c r="B28" s="9">
        <v>2</v>
      </c>
      <c r="C28" s="9">
        <v>0</v>
      </c>
      <c r="D28" s="6">
        <f>AVERAGE(17,12)</f>
        <v>14.5</v>
      </c>
      <c r="E28" s="6">
        <f>AVERAGE(4,3)</f>
        <v>3.5</v>
      </c>
      <c r="F28" s="9">
        <v>1</v>
      </c>
      <c r="G28" s="9">
        <v>0</v>
      </c>
      <c r="H28" s="9">
        <f t="shared" si="0"/>
        <v>1</v>
      </c>
      <c r="I28" s="9">
        <v>0</v>
      </c>
      <c r="J28" s="6">
        <f>AVERAGE(17,12)</f>
        <v>14.5</v>
      </c>
      <c r="K28" s="6">
        <f>AVERAGE(4,3)</f>
        <v>3.5</v>
      </c>
    </row>
    <row r="29" spans="1:11" x14ac:dyDescent="0.35">
      <c r="A29" s="9">
        <v>1982</v>
      </c>
      <c r="B29" s="9">
        <v>3</v>
      </c>
      <c r="C29" s="9">
        <v>0</v>
      </c>
      <c r="D29" s="6">
        <f>AVERAGE(15,12,16)</f>
        <v>14.333333333333334</v>
      </c>
      <c r="E29" s="6">
        <f>AVERAGE(4,3,4)</f>
        <v>3.6666666666666665</v>
      </c>
      <c r="F29" s="9">
        <v>1</v>
      </c>
      <c r="G29" s="9">
        <v>0</v>
      </c>
      <c r="H29" s="9">
        <f t="shared" si="0"/>
        <v>1</v>
      </c>
      <c r="I29" s="9">
        <v>0</v>
      </c>
      <c r="J29" s="6">
        <v>15</v>
      </c>
      <c r="K29" s="6">
        <v>4</v>
      </c>
    </row>
    <row r="30" spans="1:11" x14ac:dyDescent="0.35">
      <c r="A30" s="9">
        <v>1983</v>
      </c>
      <c r="B30" s="9">
        <v>3</v>
      </c>
      <c r="C30" s="9">
        <v>0</v>
      </c>
      <c r="D30" s="6">
        <f>AVERAGE(16,16,16)</f>
        <v>16</v>
      </c>
      <c r="E30" s="6">
        <f>AVERAGE(4,4,4)</f>
        <v>4</v>
      </c>
      <c r="F30" s="9">
        <v>0</v>
      </c>
      <c r="G30" s="9">
        <v>1</v>
      </c>
      <c r="H30" s="9">
        <f t="shared" si="0"/>
        <v>1</v>
      </c>
      <c r="I30" s="9">
        <v>0</v>
      </c>
      <c r="J30" s="6">
        <v>16</v>
      </c>
      <c r="K30" s="6">
        <v>4</v>
      </c>
    </row>
    <row r="31" spans="1:11" x14ac:dyDescent="0.35">
      <c r="A31" s="9">
        <v>1984</v>
      </c>
      <c r="B31" s="9">
        <v>0</v>
      </c>
      <c r="C31" s="9">
        <v>0</v>
      </c>
      <c r="D31" s="6" t="s">
        <v>23</v>
      </c>
      <c r="E31" s="6" t="s">
        <v>23</v>
      </c>
      <c r="F31" s="9">
        <v>0</v>
      </c>
      <c r="G31" s="9">
        <v>0</v>
      </c>
      <c r="H31" s="9">
        <f t="shared" si="0"/>
        <v>0</v>
      </c>
      <c r="I31" s="9" t="s">
        <v>23</v>
      </c>
      <c r="J31" s="6" t="s">
        <v>23</v>
      </c>
      <c r="K31" s="6" t="s">
        <v>23</v>
      </c>
    </row>
    <row r="32" spans="1:11" x14ac:dyDescent="0.35">
      <c r="A32" s="9">
        <v>1985</v>
      </c>
      <c r="B32" s="9">
        <v>4</v>
      </c>
      <c r="C32" s="9">
        <v>0</v>
      </c>
      <c r="D32" s="6">
        <f>AVERAGE(17,16,16,16)</f>
        <v>16.25</v>
      </c>
      <c r="E32" s="6">
        <f>AVERAGE(4,4,4,4)</f>
        <v>4</v>
      </c>
      <c r="F32" s="9">
        <v>1</v>
      </c>
      <c r="G32" s="9">
        <v>1</v>
      </c>
      <c r="H32" s="9">
        <f t="shared" si="0"/>
        <v>2</v>
      </c>
      <c r="I32" s="9">
        <v>0</v>
      </c>
      <c r="J32" s="6">
        <f>AVERAGE(17,16)</f>
        <v>16.5</v>
      </c>
      <c r="K32" s="6">
        <f>AVERAGE(4,4)</f>
        <v>4</v>
      </c>
    </row>
    <row r="33" spans="1:11" x14ac:dyDescent="0.35">
      <c r="A33" s="9">
        <v>1986</v>
      </c>
      <c r="B33" s="9">
        <v>2</v>
      </c>
      <c r="C33" s="9">
        <v>0</v>
      </c>
      <c r="D33" s="6">
        <f>AVERAGE(17,15)</f>
        <v>16</v>
      </c>
      <c r="E33" s="6">
        <f>AVERAGE(4,4)</f>
        <v>4</v>
      </c>
      <c r="F33" s="9">
        <v>1</v>
      </c>
      <c r="G33" s="9">
        <v>1</v>
      </c>
      <c r="H33" s="9">
        <f t="shared" si="0"/>
        <v>2</v>
      </c>
      <c r="I33" s="9">
        <v>0</v>
      </c>
      <c r="J33" s="6">
        <f>AVERAGE(17,15)</f>
        <v>16</v>
      </c>
      <c r="K33" s="6">
        <f>AVERAGE(4,4)</f>
        <v>4</v>
      </c>
    </row>
    <row r="34" spans="1:11" x14ac:dyDescent="0.35">
      <c r="A34" s="9">
        <v>1987</v>
      </c>
      <c r="B34" s="9">
        <v>1</v>
      </c>
      <c r="C34" s="9">
        <v>0</v>
      </c>
      <c r="D34" s="6">
        <v>16</v>
      </c>
      <c r="E34" s="6">
        <v>4</v>
      </c>
      <c r="F34" s="9">
        <v>0</v>
      </c>
      <c r="G34" s="9">
        <v>0</v>
      </c>
      <c r="H34" s="9">
        <f t="shared" si="0"/>
        <v>0</v>
      </c>
      <c r="I34" s="9" t="s">
        <v>23</v>
      </c>
      <c r="J34" s="6" t="s">
        <v>23</v>
      </c>
      <c r="K34" s="6" t="s">
        <v>23</v>
      </c>
    </row>
    <row r="35" spans="1:11" x14ac:dyDescent="0.35">
      <c r="A35" s="9">
        <v>1988</v>
      </c>
      <c r="B35" s="9">
        <v>0</v>
      </c>
      <c r="C35" s="9" t="s">
        <v>23</v>
      </c>
      <c r="D35" s="6" t="s">
        <v>23</v>
      </c>
      <c r="E35" s="6" t="s">
        <v>23</v>
      </c>
      <c r="F35" s="9">
        <v>0</v>
      </c>
      <c r="G35" s="9">
        <v>0</v>
      </c>
      <c r="H35" s="9">
        <f t="shared" si="0"/>
        <v>0</v>
      </c>
      <c r="I35" s="9" t="s">
        <v>23</v>
      </c>
      <c r="J35" s="6" t="s">
        <v>23</v>
      </c>
      <c r="K35" s="6" t="s">
        <v>23</v>
      </c>
    </row>
    <row r="36" spans="1:11" x14ac:dyDescent="0.35">
      <c r="A36" s="9">
        <v>1989</v>
      </c>
      <c r="B36" s="9">
        <v>1</v>
      </c>
      <c r="C36" s="9">
        <v>0</v>
      </c>
      <c r="D36" s="6">
        <v>15</v>
      </c>
      <c r="E36" s="6">
        <v>4</v>
      </c>
      <c r="F36" s="9">
        <v>1</v>
      </c>
      <c r="G36" s="9">
        <v>0</v>
      </c>
      <c r="H36" s="9">
        <f t="shared" si="0"/>
        <v>1</v>
      </c>
      <c r="I36" s="9">
        <v>0</v>
      </c>
      <c r="J36" s="6">
        <v>15</v>
      </c>
      <c r="K36" s="6">
        <v>4</v>
      </c>
    </row>
    <row r="37" spans="1:11" x14ac:dyDescent="0.35">
      <c r="A37" s="9">
        <v>1990</v>
      </c>
      <c r="B37" s="9">
        <v>1</v>
      </c>
      <c r="C37" s="9">
        <v>0</v>
      </c>
      <c r="D37" s="6">
        <v>16</v>
      </c>
      <c r="E37" s="6">
        <v>4</v>
      </c>
      <c r="F37" s="9">
        <v>0</v>
      </c>
      <c r="G37" s="9">
        <v>0</v>
      </c>
      <c r="H37" s="9">
        <f t="shared" si="0"/>
        <v>0</v>
      </c>
      <c r="I37" s="9" t="s">
        <v>23</v>
      </c>
      <c r="J37" s="6" t="s">
        <v>23</v>
      </c>
      <c r="K37" s="6" t="s">
        <v>23</v>
      </c>
    </row>
    <row r="38" spans="1:11" x14ac:dyDescent="0.35">
      <c r="A38" s="9">
        <v>1991</v>
      </c>
      <c r="B38" s="9">
        <v>1</v>
      </c>
      <c r="C38" s="9">
        <v>0</v>
      </c>
      <c r="D38" s="6">
        <v>8</v>
      </c>
      <c r="E38" s="6">
        <v>3</v>
      </c>
      <c r="F38" s="9">
        <v>0</v>
      </c>
      <c r="G38" s="9">
        <v>1</v>
      </c>
      <c r="H38" s="9">
        <f t="shared" si="0"/>
        <v>1</v>
      </c>
      <c r="I38" s="9">
        <v>0</v>
      </c>
      <c r="J38" s="6">
        <v>8</v>
      </c>
      <c r="K38" s="6">
        <v>3</v>
      </c>
    </row>
    <row r="39" spans="1:11" x14ac:dyDescent="0.35">
      <c r="A39" s="9">
        <v>1992</v>
      </c>
      <c r="B39" s="9">
        <v>1</v>
      </c>
      <c r="C39" s="9">
        <v>1</v>
      </c>
      <c r="D39" s="6">
        <v>17</v>
      </c>
      <c r="E39" s="6">
        <v>4</v>
      </c>
      <c r="F39" s="9">
        <v>1</v>
      </c>
      <c r="G39" s="9">
        <v>0</v>
      </c>
      <c r="H39" s="9">
        <f t="shared" si="0"/>
        <v>1</v>
      </c>
      <c r="I39" s="9">
        <v>1</v>
      </c>
      <c r="J39" s="6">
        <v>17</v>
      </c>
      <c r="K39" s="6">
        <v>4</v>
      </c>
    </row>
    <row r="40" spans="1:11" x14ac:dyDescent="0.35">
      <c r="A40" s="9">
        <v>1993</v>
      </c>
      <c r="B40" s="9">
        <v>5</v>
      </c>
      <c r="C40" s="9">
        <v>1</v>
      </c>
      <c r="D40" s="6">
        <f>AVERAGE(17,8,8,12,12)</f>
        <v>11.4</v>
      </c>
      <c r="E40" s="6">
        <f>AVERAGE(4,3,3,3,3)</f>
        <v>3.2</v>
      </c>
      <c r="F40" s="9">
        <v>3</v>
      </c>
      <c r="G40" s="9">
        <v>1</v>
      </c>
      <c r="H40" s="9">
        <f t="shared" si="0"/>
        <v>4</v>
      </c>
      <c r="I40" s="9">
        <v>1</v>
      </c>
      <c r="J40" s="6">
        <f>AVERAGE(17,8,12,12)</f>
        <v>12.25</v>
      </c>
      <c r="K40" s="6">
        <f>AVERAGE(4,3,3,3)</f>
        <v>3.25</v>
      </c>
    </row>
    <row r="41" spans="1:11" x14ac:dyDescent="0.35">
      <c r="A41" s="9">
        <v>1994</v>
      </c>
      <c r="B41" s="9">
        <v>2</v>
      </c>
      <c r="C41" s="9">
        <v>1</v>
      </c>
      <c r="D41" s="6">
        <f>AVERAGE(7,17)</f>
        <v>12</v>
      </c>
      <c r="E41" s="6">
        <f>AVERAGE(3,4)</f>
        <v>3.5</v>
      </c>
      <c r="F41" s="9">
        <v>1</v>
      </c>
      <c r="G41" s="9">
        <v>0</v>
      </c>
      <c r="H41" s="9">
        <f t="shared" si="0"/>
        <v>1</v>
      </c>
      <c r="I41" s="9">
        <v>1</v>
      </c>
      <c r="J41" s="6">
        <v>17</v>
      </c>
      <c r="K41" s="6">
        <v>4</v>
      </c>
    </row>
    <row r="42" spans="1:11" x14ac:dyDescent="0.35">
      <c r="A42" s="9">
        <v>1995</v>
      </c>
      <c r="B42" s="9">
        <v>1</v>
      </c>
      <c r="C42" s="9">
        <v>0</v>
      </c>
      <c r="D42" s="6">
        <v>16</v>
      </c>
      <c r="E42" s="6">
        <v>4</v>
      </c>
      <c r="F42" s="9">
        <v>1</v>
      </c>
      <c r="G42" s="9">
        <v>0</v>
      </c>
      <c r="H42" s="9">
        <f t="shared" si="0"/>
        <v>1</v>
      </c>
      <c r="I42" s="9">
        <v>0</v>
      </c>
      <c r="J42" s="6">
        <v>16</v>
      </c>
      <c r="K42" s="6">
        <v>4</v>
      </c>
    </row>
    <row r="43" spans="1:11" x14ac:dyDescent="0.35">
      <c r="A43" s="9">
        <v>1996</v>
      </c>
      <c r="B43" s="9">
        <v>1</v>
      </c>
      <c r="C43" s="9">
        <v>0</v>
      </c>
      <c r="D43" s="6">
        <v>7</v>
      </c>
      <c r="E43" s="6">
        <v>3</v>
      </c>
      <c r="F43" s="9">
        <v>0</v>
      </c>
      <c r="G43" s="9">
        <v>1</v>
      </c>
      <c r="H43" s="9">
        <f t="shared" si="0"/>
        <v>1</v>
      </c>
      <c r="I43" s="9">
        <v>0</v>
      </c>
      <c r="J43" s="6">
        <v>7</v>
      </c>
      <c r="K43" s="6">
        <v>3</v>
      </c>
    </row>
    <row r="44" spans="1:11" x14ac:dyDescent="0.35">
      <c r="A44" s="9">
        <v>1997</v>
      </c>
      <c r="B44" s="9">
        <v>2</v>
      </c>
      <c r="C44" s="9">
        <v>0</v>
      </c>
      <c r="D44" s="6">
        <f>AVERAGE(17,7)</f>
        <v>12</v>
      </c>
      <c r="E44" s="6">
        <f>AVERAGE(3,4)</f>
        <v>3.5</v>
      </c>
      <c r="F44" s="9">
        <v>2</v>
      </c>
      <c r="G44" s="9">
        <v>0</v>
      </c>
      <c r="H44" s="9">
        <f t="shared" si="0"/>
        <v>2</v>
      </c>
      <c r="I44" s="9">
        <v>0</v>
      </c>
      <c r="J44" s="6">
        <f>AVERAGE(17,7)</f>
        <v>12</v>
      </c>
      <c r="K44" s="6">
        <f>AVERAGE(4,3)</f>
        <v>3.5</v>
      </c>
    </row>
    <row r="45" spans="1:11" x14ac:dyDescent="0.35">
      <c r="A45" s="9">
        <v>1998</v>
      </c>
      <c r="B45" s="9">
        <v>0</v>
      </c>
      <c r="C45" s="9" t="s">
        <v>23</v>
      </c>
      <c r="D45" s="6" t="s">
        <v>23</v>
      </c>
      <c r="E45" s="6" t="s">
        <v>23</v>
      </c>
      <c r="F45" s="9">
        <v>0</v>
      </c>
      <c r="G45" s="9">
        <v>0</v>
      </c>
      <c r="H45" s="9">
        <f t="shared" si="0"/>
        <v>0</v>
      </c>
      <c r="I45" s="9" t="s">
        <v>23</v>
      </c>
      <c r="J45" s="6" t="s">
        <v>23</v>
      </c>
      <c r="K45" s="6" t="s">
        <v>23</v>
      </c>
    </row>
    <row r="46" spans="1:11" x14ac:dyDescent="0.35">
      <c r="A46" s="9">
        <v>1999</v>
      </c>
      <c r="B46" s="9">
        <v>4</v>
      </c>
      <c r="C46" s="9">
        <v>0</v>
      </c>
      <c r="D46" s="6">
        <f>AVERAGE(7,15,12,8)</f>
        <v>10.5</v>
      </c>
      <c r="E46" s="6">
        <f>AVERAGE(3,4,3,3,)</f>
        <v>2.6</v>
      </c>
      <c r="F46" s="9">
        <v>1</v>
      </c>
      <c r="G46" s="9">
        <v>0</v>
      </c>
      <c r="H46" s="9">
        <f t="shared" si="0"/>
        <v>1</v>
      </c>
      <c r="I46" s="9">
        <v>0</v>
      </c>
      <c r="J46" s="6">
        <v>12</v>
      </c>
      <c r="K46" s="6">
        <v>3</v>
      </c>
    </row>
    <row r="47" spans="1:11" x14ac:dyDescent="0.35">
      <c r="A47" s="9">
        <v>2000</v>
      </c>
      <c r="B47" s="9">
        <v>2</v>
      </c>
      <c r="C47" s="9">
        <v>0</v>
      </c>
      <c r="D47" s="6">
        <f>AVERAGE(1,1)</f>
        <v>1</v>
      </c>
      <c r="E47" s="6">
        <f>AVERAGE(2,2)</f>
        <v>2</v>
      </c>
      <c r="F47" s="9">
        <v>2</v>
      </c>
      <c r="G47" s="9">
        <v>0</v>
      </c>
      <c r="H47" s="9">
        <f t="shared" si="0"/>
        <v>2</v>
      </c>
      <c r="I47" s="9">
        <v>0</v>
      </c>
      <c r="J47" s="6">
        <f>AVERAGE(1,1)</f>
        <v>1</v>
      </c>
      <c r="K47" s="6">
        <f>AVERAGE(2,2)</f>
        <v>2</v>
      </c>
    </row>
    <row r="48" spans="1:11" x14ac:dyDescent="0.35">
      <c r="A48" s="9">
        <v>2001</v>
      </c>
      <c r="B48" s="9">
        <v>2</v>
      </c>
      <c r="C48" s="9">
        <v>2</v>
      </c>
      <c r="D48" s="6">
        <f>AVERAGE(17,17)</f>
        <v>17</v>
      </c>
      <c r="E48" s="6">
        <f>AVERAGE(4,4)</f>
        <v>4</v>
      </c>
      <c r="F48" s="9">
        <v>1</v>
      </c>
      <c r="G48" s="9">
        <v>0</v>
      </c>
      <c r="H48" s="9">
        <f t="shared" si="0"/>
        <v>1</v>
      </c>
      <c r="I48" s="9">
        <v>1</v>
      </c>
      <c r="J48" s="6">
        <v>17</v>
      </c>
      <c r="K48" s="6">
        <v>4</v>
      </c>
    </row>
    <row r="49" spans="1:11" x14ac:dyDescent="0.35">
      <c r="A49" s="9">
        <v>2002</v>
      </c>
      <c r="B49" s="9">
        <v>4</v>
      </c>
      <c r="C49" s="9">
        <v>0</v>
      </c>
      <c r="D49" s="6">
        <f>AVERAGE(12,7,15,15)</f>
        <v>12.25</v>
      </c>
      <c r="E49" s="6">
        <f>AVERAGE(3,3,4,4)</f>
        <v>3.5</v>
      </c>
      <c r="F49" s="9">
        <v>0</v>
      </c>
      <c r="G49" s="9">
        <v>0</v>
      </c>
      <c r="H49" s="9">
        <f t="shared" si="0"/>
        <v>0</v>
      </c>
      <c r="I49" s="9" t="s">
        <v>23</v>
      </c>
      <c r="J49" s="6" t="s">
        <v>23</v>
      </c>
      <c r="K49" s="6" t="s">
        <v>23</v>
      </c>
    </row>
    <row r="50" spans="1:11" x14ac:dyDescent="0.35">
      <c r="A50" s="9">
        <v>2003</v>
      </c>
      <c r="B50" s="9">
        <v>4</v>
      </c>
      <c r="C50" s="9">
        <v>0</v>
      </c>
      <c r="D50" s="6">
        <f>AVERAGE(7,15,15,11)</f>
        <v>12</v>
      </c>
      <c r="E50" s="6">
        <f>AVERAGE(3,4,4,3)</f>
        <v>3.5</v>
      </c>
      <c r="F50" s="9">
        <v>0</v>
      </c>
      <c r="G50" s="9">
        <v>0</v>
      </c>
      <c r="H50" s="9">
        <f t="shared" si="0"/>
        <v>0</v>
      </c>
      <c r="I50" s="9" t="s">
        <v>23</v>
      </c>
      <c r="J50" s="6" t="s">
        <v>23</v>
      </c>
      <c r="K50" s="6" t="s">
        <v>23</v>
      </c>
    </row>
    <row r="51" spans="1:11" x14ac:dyDescent="0.35">
      <c r="A51" s="9">
        <v>2004</v>
      </c>
      <c r="B51" s="9">
        <v>2</v>
      </c>
      <c r="C51" s="9">
        <v>0</v>
      </c>
      <c r="D51" s="6">
        <f>AVERAGE(7,11)</f>
        <v>9</v>
      </c>
      <c r="E51" s="6">
        <f>AVERAGE(3,3)</f>
        <v>3</v>
      </c>
      <c r="F51" s="9">
        <v>0</v>
      </c>
      <c r="G51" s="9">
        <v>0</v>
      </c>
      <c r="H51" s="9">
        <f t="shared" si="0"/>
        <v>0</v>
      </c>
      <c r="I51" s="9" t="s">
        <v>23</v>
      </c>
      <c r="J51" s="6" t="s">
        <v>23</v>
      </c>
      <c r="K51" s="6" t="s">
        <v>23</v>
      </c>
    </row>
    <row r="52" spans="1:11" x14ac:dyDescent="0.35">
      <c r="A52" s="9">
        <v>2005</v>
      </c>
      <c r="B52" s="9">
        <v>2</v>
      </c>
      <c r="C52" s="9">
        <v>0</v>
      </c>
      <c r="D52" s="6">
        <f>AVERAGE(7,17)</f>
        <v>12</v>
      </c>
      <c r="E52" s="6">
        <f>AVERAGE(3,4)</f>
        <v>3.5</v>
      </c>
      <c r="F52" s="9">
        <v>1</v>
      </c>
      <c r="G52" s="9">
        <v>0</v>
      </c>
      <c r="H52" s="9">
        <f t="shared" si="0"/>
        <v>1</v>
      </c>
      <c r="I52" s="9">
        <v>0</v>
      </c>
      <c r="J52" s="6">
        <v>17</v>
      </c>
      <c r="K52" s="6">
        <v>4</v>
      </c>
    </row>
    <row r="53" spans="1:11" x14ac:dyDescent="0.35">
      <c r="A53" s="9">
        <v>2006</v>
      </c>
      <c r="B53" s="9">
        <v>1</v>
      </c>
      <c r="C53" s="9">
        <v>0</v>
      </c>
      <c r="D53" s="6">
        <v>7</v>
      </c>
      <c r="E53" s="6">
        <v>3</v>
      </c>
      <c r="F53" s="9">
        <v>0</v>
      </c>
      <c r="G53" s="9">
        <v>1</v>
      </c>
      <c r="H53" s="9">
        <f t="shared" si="0"/>
        <v>1</v>
      </c>
      <c r="I53" s="9">
        <v>0</v>
      </c>
      <c r="J53" s="6">
        <v>7</v>
      </c>
      <c r="K53" s="6">
        <v>3</v>
      </c>
    </row>
    <row r="54" spans="1:11" x14ac:dyDescent="0.35">
      <c r="A54" s="9">
        <v>2007</v>
      </c>
      <c r="B54" s="9">
        <v>1</v>
      </c>
      <c r="C54" s="9">
        <v>0</v>
      </c>
      <c r="D54" s="6">
        <v>1</v>
      </c>
      <c r="E54" s="6">
        <v>2</v>
      </c>
      <c r="F54" s="9">
        <v>1</v>
      </c>
      <c r="G54" s="9">
        <v>0</v>
      </c>
      <c r="H54" s="9">
        <f t="shared" si="0"/>
        <v>1</v>
      </c>
      <c r="I54" s="9">
        <v>0</v>
      </c>
      <c r="J54" s="6">
        <v>1</v>
      </c>
      <c r="K54" s="6">
        <v>2</v>
      </c>
    </row>
    <row r="55" spans="1:11" x14ac:dyDescent="0.35">
      <c r="A55" s="9">
        <v>2008</v>
      </c>
      <c r="B55" s="9">
        <v>1</v>
      </c>
      <c r="C55" s="9">
        <v>0</v>
      </c>
      <c r="D55" s="6">
        <v>7</v>
      </c>
      <c r="E55" s="6">
        <v>3</v>
      </c>
      <c r="F55" s="9">
        <v>1</v>
      </c>
      <c r="G55" s="9">
        <v>0</v>
      </c>
      <c r="H55" s="9">
        <f t="shared" si="0"/>
        <v>1</v>
      </c>
      <c r="I55" s="9">
        <v>0</v>
      </c>
      <c r="J55" s="6">
        <v>7</v>
      </c>
      <c r="K55" s="6">
        <v>3</v>
      </c>
    </row>
    <row r="56" spans="1:11" x14ac:dyDescent="0.35">
      <c r="A56" s="9">
        <v>2009</v>
      </c>
      <c r="B56" s="9">
        <v>1</v>
      </c>
      <c r="C56" s="9">
        <v>2</v>
      </c>
      <c r="D56" s="6">
        <v>17</v>
      </c>
      <c r="E56" s="6">
        <v>4</v>
      </c>
      <c r="F56" s="9">
        <v>0</v>
      </c>
      <c r="G56" s="9">
        <v>1</v>
      </c>
      <c r="H56" s="9">
        <f t="shared" si="0"/>
        <v>1</v>
      </c>
      <c r="I56" s="9">
        <v>1</v>
      </c>
      <c r="J56" s="6">
        <v>17</v>
      </c>
      <c r="K56" s="6">
        <v>4</v>
      </c>
    </row>
    <row r="57" spans="1:11" x14ac:dyDescent="0.35">
      <c r="A57" s="9">
        <v>2010</v>
      </c>
      <c r="B57" s="9">
        <v>2</v>
      </c>
      <c r="C57" s="9">
        <v>0</v>
      </c>
      <c r="D57" s="6">
        <f>AVERAGE(16,7)</f>
        <v>11.5</v>
      </c>
      <c r="E57" s="6">
        <f>AVERAGE(4,3)</f>
        <v>3.5</v>
      </c>
      <c r="F57" s="9">
        <v>1</v>
      </c>
      <c r="G57" s="9">
        <v>1</v>
      </c>
      <c r="H57" s="9">
        <f t="shared" si="0"/>
        <v>2</v>
      </c>
      <c r="I57" s="9">
        <v>0</v>
      </c>
      <c r="J57" s="6">
        <f>AVERAGE(16,7)</f>
        <v>11.5</v>
      </c>
      <c r="K57" s="6">
        <f>AVERAGE(4,3)</f>
        <v>3.5</v>
      </c>
    </row>
    <row r="58" spans="1:11" x14ac:dyDescent="0.35">
      <c r="A58" s="9" t="s">
        <v>70</v>
      </c>
      <c r="B58" s="9">
        <f>SUM(B2:B57)</f>
        <v>93</v>
      </c>
      <c r="H58" s="9">
        <f>SUM(H2:H57)</f>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selection sqref="A1:G1"/>
    </sheetView>
  </sheetViews>
  <sheetFormatPr defaultRowHeight="14.5" x14ac:dyDescent="0.35"/>
  <cols>
    <col min="1" max="1" width="20.7265625" style="25" customWidth="1"/>
    <col min="2" max="8" width="9.1796875" style="25"/>
    <col min="9" max="11" width="9.1796875" style="34"/>
    <col min="12" max="13" width="9.1796875" style="23"/>
  </cols>
  <sheetData>
    <row r="1" spans="1:7" x14ac:dyDescent="0.35">
      <c r="A1" s="74" t="s">
        <v>171</v>
      </c>
      <c r="B1" s="74"/>
      <c r="C1" s="74"/>
      <c r="D1" s="74"/>
      <c r="E1" s="74"/>
      <c r="F1" s="74"/>
      <c r="G1" s="74"/>
    </row>
    <row r="2" spans="1:7" x14ac:dyDescent="0.35">
      <c r="A2" s="35"/>
      <c r="B2" s="36" t="s">
        <v>120</v>
      </c>
      <c r="C2" s="36" t="s">
        <v>121</v>
      </c>
      <c r="D2" s="36" t="s">
        <v>112</v>
      </c>
      <c r="E2" s="36" t="s">
        <v>113</v>
      </c>
      <c r="F2" s="36" t="s">
        <v>114</v>
      </c>
      <c r="G2" s="36" t="s">
        <v>115</v>
      </c>
    </row>
    <row r="3" spans="1:7" ht="5.15" customHeight="1" x14ac:dyDescent="0.35"/>
    <row r="4" spans="1:7" x14ac:dyDescent="0.35">
      <c r="A4" s="25" t="s">
        <v>103</v>
      </c>
      <c r="B4" s="25" t="s">
        <v>172</v>
      </c>
      <c r="C4" s="25" t="s">
        <v>122</v>
      </c>
      <c r="D4" s="25" t="s">
        <v>173</v>
      </c>
      <c r="E4" s="25" t="s">
        <v>174</v>
      </c>
      <c r="F4" s="25" t="s">
        <v>175</v>
      </c>
      <c r="G4" s="25" t="s">
        <v>176</v>
      </c>
    </row>
    <row r="5" spans="1:7" x14ac:dyDescent="0.35">
      <c r="B5" s="25" t="s">
        <v>177</v>
      </c>
      <c r="C5" s="25" t="s">
        <v>123</v>
      </c>
      <c r="D5" s="25" t="s">
        <v>117</v>
      </c>
      <c r="E5" s="25" t="s">
        <v>123</v>
      </c>
      <c r="F5" s="25" t="s">
        <v>178</v>
      </c>
      <c r="G5" s="25" t="s">
        <v>179</v>
      </c>
    </row>
    <row r="6" spans="1:7" ht="5.15" customHeight="1" x14ac:dyDescent="0.35"/>
    <row r="7" spans="1:7" x14ac:dyDescent="0.35">
      <c r="A7" s="25" t="s">
        <v>104</v>
      </c>
      <c r="C7" s="25" t="s">
        <v>118</v>
      </c>
      <c r="G7" s="25" t="s">
        <v>116</v>
      </c>
    </row>
    <row r="8" spans="1:7" x14ac:dyDescent="0.35">
      <c r="C8" s="25" t="s">
        <v>180</v>
      </c>
      <c r="G8" s="25" t="s">
        <v>116</v>
      </c>
    </row>
    <row r="9" spans="1:7" ht="5.15" customHeight="1" x14ac:dyDescent="0.35"/>
    <row r="10" spans="1:7" x14ac:dyDescent="0.35">
      <c r="A10" s="25" t="s">
        <v>105</v>
      </c>
      <c r="D10" s="25" t="s">
        <v>181</v>
      </c>
      <c r="G10" s="25" t="s">
        <v>116</v>
      </c>
    </row>
    <row r="11" spans="1:7" x14ac:dyDescent="0.35">
      <c r="D11" s="25" t="s">
        <v>182</v>
      </c>
      <c r="G11" s="25" t="s">
        <v>116</v>
      </c>
    </row>
    <row r="12" spans="1:7" ht="5.15" customHeight="1" x14ac:dyDescent="0.35"/>
    <row r="13" spans="1:7" x14ac:dyDescent="0.35">
      <c r="A13" s="25" t="s">
        <v>106</v>
      </c>
      <c r="D13" s="25" t="s">
        <v>183</v>
      </c>
      <c r="G13" s="25" t="s">
        <v>116</v>
      </c>
    </row>
    <row r="14" spans="1:7" x14ac:dyDescent="0.35">
      <c r="D14" s="25" t="s">
        <v>184</v>
      </c>
      <c r="G14" s="25" t="s">
        <v>116</v>
      </c>
    </row>
    <row r="15" spans="1:7" ht="5.15" customHeight="1" x14ac:dyDescent="0.35"/>
    <row r="16" spans="1:7" x14ac:dyDescent="0.35">
      <c r="A16" s="25" t="s">
        <v>107</v>
      </c>
      <c r="D16" s="25" t="s">
        <v>185</v>
      </c>
      <c r="G16" s="25" t="s">
        <v>116</v>
      </c>
    </row>
    <row r="17" spans="1:7" x14ac:dyDescent="0.35">
      <c r="D17" s="25" t="s">
        <v>186</v>
      </c>
      <c r="G17" s="25" t="s">
        <v>116</v>
      </c>
    </row>
    <row r="18" spans="1:7" ht="5.15" customHeight="1" x14ac:dyDescent="0.35"/>
    <row r="19" spans="1:7" x14ac:dyDescent="0.35">
      <c r="A19" s="25" t="s">
        <v>46</v>
      </c>
      <c r="D19" s="25" t="s">
        <v>187</v>
      </c>
      <c r="G19" s="25" t="s">
        <v>116</v>
      </c>
    </row>
    <row r="20" spans="1:7" x14ac:dyDescent="0.35">
      <c r="D20" s="25" t="s">
        <v>188</v>
      </c>
      <c r="G20" s="25" t="s">
        <v>116</v>
      </c>
    </row>
    <row r="21" spans="1:7" ht="5.15" customHeight="1" x14ac:dyDescent="0.35"/>
    <row r="22" spans="1:7" x14ac:dyDescent="0.35">
      <c r="A22" s="25" t="s">
        <v>189</v>
      </c>
      <c r="D22" s="25" t="s">
        <v>190</v>
      </c>
      <c r="G22" s="25" t="s">
        <v>116</v>
      </c>
    </row>
    <row r="23" spans="1:7" x14ac:dyDescent="0.35">
      <c r="D23" s="25" t="s">
        <v>191</v>
      </c>
      <c r="G23" s="25" t="s">
        <v>116</v>
      </c>
    </row>
    <row r="24" spans="1:7" ht="5.15" customHeight="1" x14ac:dyDescent="0.35"/>
    <row r="25" spans="1:7" x14ac:dyDescent="0.35">
      <c r="A25" s="25" t="s">
        <v>128</v>
      </c>
      <c r="B25" s="25" t="s">
        <v>192</v>
      </c>
      <c r="C25" s="25" t="s">
        <v>193</v>
      </c>
      <c r="D25" s="25" t="s">
        <v>194</v>
      </c>
      <c r="E25" s="25" t="s">
        <v>195</v>
      </c>
      <c r="F25" s="25" t="s">
        <v>196</v>
      </c>
      <c r="G25" s="25" t="s">
        <v>197</v>
      </c>
    </row>
    <row r="26" spans="1:7" x14ac:dyDescent="0.35">
      <c r="B26" s="25" t="s">
        <v>198</v>
      </c>
      <c r="C26" s="25" t="s">
        <v>199</v>
      </c>
      <c r="D26" s="25" t="s">
        <v>200</v>
      </c>
      <c r="E26" s="25" t="s">
        <v>201</v>
      </c>
      <c r="F26" s="25" t="s">
        <v>202</v>
      </c>
      <c r="G26" s="25" t="s">
        <v>203</v>
      </c>
    </row>
    <row r="27" spans="1:7" ht="5.15" customHeight="1" x14ac:dyDescent="0.35"/>
    <row r="28" spans="1:7" x14ac:dyDescent="0.35">
      <c r="A28" s="25" t="s">
        <v>136</v>
      </c>
      <c r="B28" s="25" t="s">
        <v>204</v>
      </c>
      <c r="C28" s="25" t="s">
        <v>205</v>
      </c>
      <c r="D28" s="25" t="s">
        <v>206</v>
      </c>
      <c r="E28" s="25" t="s">
        <v>207</v>
      </c>
      <c r="F28" s="25" t="s">
        <v>208</v>
      </c>
      <c r="G28" s="25" t="s">
        <v>209</v>
      </c>
    </row>
    <row r="29" spans="1:7" x14ac:dyDescent="0.35">
      <c r="B29" s="25" t="s">
        <v>124</v>
      </c>
      <c r="C29" s="25" t="s">
        <v>215</v>
      </c>
      <c r="D29" s="25" t="s">
        <v>216</v>
      </c>
      <c r="E29" s="25" t="s">
        <v>217</v>
      </c>
      <c r="F29" s="25" t="s">
        <v>218</v>
      </c>
      <c r="G29" s="25" t="s">
        <v>219</v>
      </c>
    </row>
    <row r="30" spans="1:7" ht="5.15" customHeight="1" x14ac:dyDescent="0.35"/>
    <row r="31" spans="1:7" x14ac:dyDescent="0.35">
      <c r="A31" s="25" t="s">
        <v>137</v>
      </c>
      <c r="B31" s="25" t="s">
        <v>210</v>
      </c>
      <c r="C31" s="25" t="s">
        <v>125</v>
      </c>
      <c r="D31" s="25" t="s">
        <v>211</v>
      </c>
      <c r="E31" s="25" t="s">
        <v>212</v>
      </c>
      <c r="F31" s="25" t="s">
        <v>213</v>
      </c>
      <c r="G31" s="25" t="s">
        <v>214</v>
      </c>
    </row>
    <row r="32" spans="1:7" x14ac:dyDescent="0.35">
      <c r="B32" s="25" t="s">
        <v>126</v>
      </c>
      <c r="C32" s="25" t="s">
        <v>127</v>
      </c>
      <c r="D32" s="25" t="s">
        <v>220</v>
      </c>
      <c r="E32" s="25" t="s">
        <v>221</v>
      </c>
      <c r="F32" s="25" t="s">
        <v>222</v>
      </c>
      <c r="G32" s="25" t="s">
        <v>223</v>
      </c>
    </row>
    <row r="33" spans="1:7" ht="5.15" customHeight="1" x14ac:dyDescent="0.35"/>
    <row r="34" spans="1:7" x14ac:dyDescent="0.35">
      <c r="A34" s="25" t="s">
        <v>109</v>
      </c>
      <c r="B34" s="25" t="s">
        <v>224</v>
      </c>
      <c r="C34" s="25" t="s">
        <v>225</v>
      </c>
      <c r="D34" s="25" t="s">
        <v>226</v>
      </c>
      <c r="E34" s="25" t="s">
        <v>227</v>
      </c>
      <c r="G34" s="25" t="s">
        <v>228</v>
      </c>
    </row>
    <row r="35" spans="1:7" x14ac:dyDescent="0.35">
      <c r="B35" s="25" t="s">
        <v>229</v>
      </c>
      <c r="C35" s="25" t="s">
        <v>230</v>
      </c>
      <c r="D35" s="25" t="s">
        <v>231</v>
      </c>
      <c r="E35" s="25" t="s">
        <v>232</v>
      </c>
      <c r="G35" s="25" t="s">
        <v>233</v>
      </c>
    </row>
    <row r="36" spans="1:7" ht="5.15" customHeight="1" x14ac:dyDescent="0.35"/>
    <row r="37" spans="1:7" x14ac:dyDescent="0.35">
      <c r="A37" s="25" t="s">
        <v>129</v>
      </c>
      <c r="F37" s="25" t="s">
        <v>234</v>
      </c>
      <c r="G37" s="25" t="s">
        <v>116</v>
      </c>
    </row>
    <row r="38" spans="1:7" x14ac:dyDescent="0.35">
      <c r="F38" s="25" t="s">
        <v>235</v>
      </c>
      <c r="G38" s="25" t="s">
        <v>116</v>
      </c>
    </row>
    <row r="39" spans="1:7" ht="5.15" customHeight="1" x14ac:dyDescent="0.35">
      <c r="G39" s="25" t="s">
        <v>116</v>
      </c>
    </row>
    <row r="40" spans="1:7" x14ac:dyDescent="0.35">
      <c r="A40" s="25" t="s">
        <v>130</v>
      </c>
      <c r="F40" s="25" t="s">
        <v>236</v>
      </c>
    </row>
    <row r="41" spans="1:7" x14ac:dyDescent="0.35">
      <c r="F41" s="25" t="s">
        <v>237</v>
      </c>
      <c r="G41" s="25" t="s">
        <v>116</v>
      </c>
    </row>
    <row r="42" spans="1:7" ht="5.15" customHeight="1" x14ac:dyDescent="0.35">
      <c r="G42" s="25" t="s">
        <v>116</v>
      </c>
    </row>
    <row r="43" spans="1:7" x14ac:dyDescent="0.35">
      <c r="A43" s="25" t="s">
        <v>131</v>
      </c>
      <c r="F43" s="25" t="s">
        <v>238</v>
      </c>
      <c r="G43" s="25" t="s">
        <v>116</v>
      </c>
    </row>
    <row r="44" spans="1:7" x14ac:dyDescent="0.35">
      <c r="F44" s="25" t="s">
        <v>239</v>
      </c>
    </row>
    <row r="45" spans="1:7" ht="5.15" customHeight="1" x14ac:dyDescent="0.35">
      <c r="G45" s="25" t="s">
        <v>116</v>
      </c>
    </row>
    <row r="46" spans="1:7" x14ac:dyDescent="0.35">
      <c r="A46" s="25" t="s">
        <v>132</v>
      </c>
      <c r="F46" s="25" t="s">
        <v>240</v>
      </c>
      <c r="G46" s="25" t="s">
        <v>116</v>
      </c>
    </row>
    <row r="47" spans="1:7" x14ac:dyDescent="0.35">
      <c r="F47" s="25" t="s">
        <v>241</v>
      </c>
      <c r="G47" s="25" t="s">
        <v>116</v>
      </c>
    </row>
    <row r="48" spans="1:7" ht="5.15" customHeight="1" x14ac:dyDescent="0.35"/>
    <row r="49" spans="1:7" x14ac:dyDescent="0.35">
      <c r="A49" s="25" t="s">
        <v>133</v>
      </c>
      <c r="F49" s="25" t="s">
        <v>242</v>
      </c>
      <c r="G49" s="25" t="s">
        <v>116</v>
      </c>
    </row>
    <row r="50" spans="1:7" x14ac:dyDescent="0.35">
      <c r="F50" s="25" t="s">
        <v>243</v>
      </c>
      <c r="G50" s="25" t="s">
        <v>116</v>
      </c>
    </row>
    <row r="51" spans="1:7" ht="5.15" customHeight="1" x14ac:dyDescent="0.35"/>
    <row r="52" spans="1:7" x14ac:dyDescent="0.35">
      <c r="A52" s="25" t="s">
        <v>108</v>
      </c>
      <c r="B52" s="25" t="s">
        <v>244</v>
      </c>
      <c r="C52" s="25" t="s">
        <v>244</v>
      </c>
      <c r="D52" s="25" t="s">
        <v>244</v>
      </c>
      <c r="E52" s="25" t="s">
        <v>245</v>
      </c>
      <c r="F52" s="25" t="s">
        <v>244</v>
      </c>
      <c r="G52" s="25" t="s">
        <v>244</v>
      </c>
    </row>
    <row r="53" spans="1:7" x14ac:dyDescent="0.35">
      <c r="A53" s="24" t="s">
        <v>138</v>
      </c>
      <c r="B53" s="24" t="s">
        <v>246</v>
      </c>
      <c r="C53" s="24" t="s">
        <v>247</v>
      </c>
      <c r="D53" s="24" t="s">
        <v>248</v>
      </c>
      <c r="E53" s="24" t="s">
        <v>249</v>
      </c>
      <c r="F53" s="24" t="s">
        <v>119</v>
      </c>
      <c r="G53" s="24" t="s">
        <v>250</v>
      </c>
    </row>
    <row r="54" spans="1:7" x14ac:dyDescent="0.35">
      <c r="A54" s="25" t="s">
        <v>134</v>
      </c>
    </row>
    <row r="55" spans="1:7" x14ac:dyDescent="0.35">
      <c r="A55" s="75" t="s">
        <v>135</v>
      </c>
      <c r="B55" s="75"/>
      <c r="C55" s="75"/>
      <c r="D55" s="75"/>
      <c r="E55" s="75"/>
      <c r="F55" s="75"/>
      <c r="G55" s="75"/>
    </row>
    <row r="56" spans="1:7" x14ac:dyDescent="0.35">
      <c r="A56" s="75" t="s">
        <v>251</v>
      </c>
      <c r="B56" s="75"/>
      <c r="C56" s="75"/>
      <c r="D56" s="75"/>
      <c r="E56" s="75"/>
      <c r="F56" s="75"/>
      <c r="G56" s="75"/>
    </row>
    <row r="59" spans="1:7" x14ac:dyDescent="0.35">
      <c r="A59" s="25" t="s">
        <v>284</v>
      </c>
    </row>
  </sheetData>
  <mergeCells count="3">
    <mergeCell ref="A1:G1"/>
    <mergeCell ref="A55:G55"/>
    <mergeCell ref="A56:G56"/>
  </mergeCells>
  <pageMargins left="0.7" right="0.7" top="0.75" bottom="0.75" header="0.3" footer="0.3"/>
  <pageSetup orientation="portrait" r:id="rId1"/>
  <ignoredErrors>
    <ignoredError sqref="B2:G3 H34:H35 H25 H26 H28 H29 H31 H32 H27 H30 H33 F48 F45 F42 B23:C23 B22:C22 B24:D24 B20:C20 B19:C19 B21:D21 B17:C17 B16:C16 B18:D18 B14:C14 B13:C13 B15:D15 B11:C11 B10:C10 B12:D12 D8 B8 B9:D9 E5 E6:E24 E27 E30 E33 F33:G33 F30:G30 F27:G27 F6:G24 F35 F34 B32:C32 C31 B33:D33 B29 B30:D30 C4 C5:D5 B27:D27 B6:D7 G37:G51 B37:E51 F39 B36:G36 B4 F37:F38 B52:G53 F40:F41 B25:G26 B28:G28 B5 F5:G5 D4:G4 D32:G32 C29:G29 B35:E35 B31 D31:G31 B34:E34 G34 G35 C8 D11 D14 D10 D17 D13 D20 D16 D23 D19 D22 F43:F44 F46:F47 F49:F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activeCell="A2" sqref="A2"/>
    </sheetView>
  </sheetViews>
  <sheetFormatPr defaultRowHeight="14.5" x14ac:dyDescent="0.35"/>
  <sheetData>
    <row r="1" spans="1:20" x14ac:dyDescent="0.35">
      <c r="A1" t="s">
        <v>283</v>
      </c>
    </row>
    <row r="2" spans="1:20" ht="132" x14ac:dyDescent="0.35">
      <c r="A2" s="2" t="s">
        <v>27</v>
      </c>
      <c r="B2" s="37" t="s">
        <v>139</v>
      </c>
      <c r="C2" s="37" t="s">
        <v>140</v>
      </c>
      <c r="D2" s="37" t="s">
        <v>141</v>
      </c>
      <c r="E2" s="37" t="s">
        <v>145</v>
      </c>
      <c r="F2" s="37" t="s">
        <v>151</v>
      </c>
      <c r="G2" s="37" t="s">
        <v>152</v>
      </c>
      <c r="H2" s="37" t="s">
        <v>153</v>
      </c>
      <c r="I2" s="37" t="s">
        <v>154</v>
      </c>
      <c r="J2" s="37" t="s">
        <v>142</v>
      </c>
      <c r="K2" s="37" t="s">
        <v>143</v>
      </c>
      <c r="L2" s="37" t="s">
        <v>144</v>
      </c>
      <c r="M2" s="37" t="s">
        <v>146</v>
      </c>
      <c r="N2" s="37" t="s">
        <v>147</v>
      </c>
      <c r="O2" s="37" t="s">
        <v>148</v>
      </c>
      <c r="P2" s="37" t="s">
        <v>149</v>
      </c>
      <c r="Q2" s="37" t="s">
        <v>150</v>
      </c>
      <c r="R2" s="38" t="s">
        <v>158</v>
      </c>
      <c r="S2" s="38" t="s">
        <v>156</v>
      </c>
      <c r="T2" s="37" t="s">
        <v>157</v>
      </c>
    </row>
    <row r="3" spans="1:20" x14ac:dyDescent="0.35">
      <c r="A3" s="2">
        <v>1968</v>
      </c>
      <c r="B3" s="2">
        <v>213596</v>
      </c>
      <c r="C3" s="2">
        <v>178599</v>
      </c>
      <c r="D3" s="2">
        <v>137</v>
      </c>
      <c r="E3" s="2">
        <f>C3+D3</f>
        <v>178736</v>
      </c>
      <c r="F3" s="2">
        <f>1786712+30270+42332</f>
        <v>1859314</v>
      </c>
      <c r="G3" s="2">
        <f>726212+11927+10871</f>
        <v>749010</v>
      </c>
      <c r="H3" s="2">
        <f>169870+200+5509</f>
        <v>175579</v>
      </c>
      <c r="I3" s="2">
        <f>G3+H3</f>
        <v>924589</v>
      </c>
      <c r="J3" s="2">
        <v>41121</v>
      </c>
      <c r="K3" s="2">
        <v>8478</v>
      </c>
      <c r="L3" s="2">
        <v>2611</v>
      </c>
      <c r="M3" s="2">
        <f>K3+L3</f>
        <v>11089</v>
      </c>
      <c r="N3" s="2">
        <v>62263</v>
      </c>
      <c r="O3" s="2">
        <v>51686</v>
      </c>
      <c r="P3" s="2">
        <v>68</v>
      </c>
      <c r="Q3" s="2">
        <f>O3+P3</f>
        <v>51754</v>
      </c>
      <c r="R3" s="2">
        <v>3489588</v>
      </c>
      <c r="S3" s="2">
        <v>1516973</v>
      </c>
      <c r="T3" s="2">
        <v>308138</v>
      </c>
    </row>
    <row r="4" spans="1:20" x14ac:dyDescent="0.35">
      <c r="A4">
        <v>1969</v>
      </c>
      <c r="B4">
        <v>209670</v>
      </c>
      <c r="C4">
        <v>175945</v>
      </c>
      <c r="D4">
        <v>132</v>
      </c>
      <c r="E4" s="2">
        <f t="shared" ref="E4:E11" si="0">C4+D4</f>
        <v>176077</v>
      </c>
      <c r="F4">
        <f>1787560+30889+43018</f>
        <v>1861467</v>
      </c>
      <c r="G4">
        <f>735665+12633+12918</f>
        <v>761216</v>
      </c>
      <c r="H4">
        <f>184764+176+6361</f>
        <v>191301</v>
      </c>
      <c r="I4" s="2">
        <f t="shared" ref="I4:I11" si="1">G4+H4</f>
        <v>952517</v>
      </c>
      <c r="J4">
        <v>40576</v>
      </c>
      <c r="K4">
        <v>8585</v>
      </c>
      <c r="L4">
        <v>3642</v>
      </c>
      <c r="M4" s="2">
        <f t="shared" ref="M4:M11" si="2">K4+L4</f>
        <v>12227</v>
      </c>
      <c r="N4">
        <v>66531</v>
      </c>
      <c r="O4">
        <v>55284</v>
      </c>
      <c r="P4">
        <v>64</v>
      </c>
      <c r="Q4" s="2">
        <f t="shared" ref="Q4:Q11" si="3">O4+P4</f>
        <v>55348</v>
      </c>
      <c r="R4">
        <v>3449271</v>
      </c>
      <c r="S4">
        <v>1514223</v>
      </c>
      <c r="T4">
        <v>311627</v>
      </c>
    </row>
    <row r="5" spans="1:20" x14ac:dyDescent="0.35">
      <c r="A5">
        <v>1970</v>
      </c>
      <c r="B5">
        <v>202935</v>
      </c>
      <c r="C5">
        <v>169386</v>
      </c>
      <c r="D5">
        <v>130</v>
      </c>
      <c r="E5" s="2">
        <f t="shared" si="0"/>
        <v>169516</v>
      </c>
      <c r="F5">
        <f>1573500+29246+38397</f>
        <v>1641143</v>
      </c>
      <c r="G5">
        <f>623157+12111+9639</f>
        <v>644907</v>
      </c>
      <c r="H5">
        <f>154918+182+7189</f>
        <v>162289</v>
      </c>
      <c r="I5" s="2">
        <f t="shared" si="1"/>
        <v>807196</v>
      </c>
      <c r="J5">
        <v>37512</v>
      </c>
      <c r="K5">
        <v>5917</v>
      </c>
      <c r="L5">
        <v>5069</v>
      </c>
      <c r="M5" s="2">
        <f t="shared" si="2"/>
        <v>10986</v>
      </c>
      <c r="N5">
        <v>52197</v>
      </c>
      <c r="O5">
        <v>42629</v>
      </c>
      <c r="P5">
        <v>48</v>
      </c>
      <c r="Q5" s="2">
        <f t="shared" si="3"/>
        <v>42677</v>
      </c>
      <c r="R5">
        <v>2983868</v>
      </c>
      <c r="S5">
        <v>1293276</v>
      </c>
      <c r="T5">
        <v>246153</v>
      </c>
    </row>
    <row r="6" spans="1:20" x14ac:dyDescent="0.35">
      <c r="A6">
        <v>1971</v>
      </c>
      <c r="B6">
        <v>219865</v>
      </c>
      <c r="C6">
        <v>187677</v>
      </c>
      <c r="D6">
        <v>129</v>
      </c>
      <c r="E6" s="2">
        <f t="shared" si="0"/>
        <v>187806</v>
      </c>
      <c r="F6">
        <f>1489291+27893+34515</f>
        <v>1551699</v>
      </c>
      <c r="G6">
        <f>537003+11510+9738</f>
        <v>558251</v>
      </c>
      <c r="H6">
        <f>140198+158+5319</f>
        <v>145675</v>
      </c>
      <c r="I6" s="2">
        <f t="shared" si="1"/>
        <v>703926</v>
      </c>
      <c r="J6">
        <v>28466</v>
      </c>
      <c r="K6">
        <v>3376</v>
      </c>
      <c r="L6">
        <v>7685</v>
      </c>
      <c r="M6" s="2">
        <f t="shared" si="2"/>
        <v>11061</v>
      </c>
      <c r="N6">
        <v>40740</v>
      </c>
      <c r="O6">
        <v>30453</v>
      </c>
      <c r="P6">
        <v>43</v>
      </c>
      <c r="Q6" s="2">
        <f t="shared" si="3"/>
        <v>30496</v>
      </c>
      <c r="R6">
        <v>2626785</v>
      </c>
      <c r="S6">
        <v>1050425</v>
      </c>
      <c r="T6">
        <v>204738</v>
      </c>
    </row>
    <row r="7" spans="1:20" x14ac:dyDescent="0.35">
      <c r="A7">
        <v>1972</v>
      </c>
      <c r="B7">
        <v>215381</v>
      </c>
      <c r="C7">
        <v>183763</v>
      </c>
      <c r="D7">
        <v>112</v>
      </c>
      <c r="E7" s="2">
        <f t="shared" si="0"/>
        <v>183875</v>
      </c>
      <c r="F7">
        <f>1448420+25722+39150</f>
        <v>1513292</v>
      </c>
      <c r="G7">
        <f>519962+10532+13093</f>
        <v>543587</v>
      </c>
      <c r="H7">
        <f>140481+85+6803</f>
        <v>147369</v>
      </c>
      <c r="I7" s="2">
        <f t="shared" si="1"/>
        <v>690956</v>
      </c>
      <c r="J7">
        <v>20576</v>
      </c>
      <c r="K7">
        <v>2010</v>
      </c>
      <c r="L7">
        <v>4725</v>
      </c>
      <c r="M7" s="2">
        <f t="shared" si="2"/>
        <v>6735</v>
      </c>
      <c r="N7">
        <v>41600</v>
      </c>
      <c r="O7">
        <v>32526</v>
      </c>
      <c r="P7">
        <v>40</v>
      </c>
      <c r="Q7" s="2">
        <f t="shared" si="3"/>
        <v>32566</v>
      </c>
      <c r="R7">
        <v>2356301</v>
      </c>
      <c r="S7">
        <v>849824</v>
      </c>
      <c r="T7">
        <v>199624</v>
      </c>
    </row>
    <row r="8" spans="1:20" x14ac:dyDescent="0.35">
      <c r="A8">
        <v>2003</v>
      </c>
      <c r="B8">
        <v>74796</v>
      </c>
      <c r="C8">
        <v>58061</v>
      </c>
      <c r="D8">
        <v>229</v>
      </c>
      <c r="E8" s="2">
        <f t="shared" si="0"/>
        <v>58290</v>
      </c>
      <c r="F8">
        <f>974571+16282+34203</f>
        <v>1025056</v>
      </c>
      <c r="G8">
        <f>367264+6327+15985</f>
        <v>389576</v>
      </c>
      <c r="H8">
        <f>132752+22+5161</f>
        <v>137935</v>
      </c>
      <c r="I8" s="2">
        <f t="shared" si="1"/>
        <v>527511</v>
      </c>
      <c r="J8">
        <v>40519</v>
      </c>
      <c r="K8">
        <v>1823</v>
      </c>
      <c r="L8">
        <v>17967</v>
      </c>
      <c r="M8" s="2">
        <f t="shared" si="2"/>
        <v>19790</v>
      </c>
      <c r="N8">
        <v>41145</v>
      </c>
      <c r="O8">
        <v>31046</v>
      </c>
      <c r="P8">
        <v>146</v>
      </c>
      <c r="Q8" s="2">
        <f t="shared" si="3"/>
        <v>31192</v>
      </c>
      <c r="R8">
        <v>1434377</v>
      </c>
      <c r="S8">
        <v>499301</v>
      </c>
      <c r="T8">
        <v>177779</v>
      </c>
    </row>
    <row r="9" spans="1:20" x14ac:dyDescent="0.35">
      <c r="A9">
        <v>2004</v>
      </c>
      <c r="B9">
        <v>76058</v>
      </c>
      <c r="C9">
        <v>59292</v>
      </c>
      <c r="D9">
        <v>231</v>
      </c>
      <c r="E9" s="2">
        <f t="shared" si="0"/>
        <v>59523</v>
      </c>
      <c r="F9">
        <f>924310+17385+35061</f>
        <v>976756</v>
      </c>
      <c r="G9">
        <f>367163+7604+17068</f>
        <v>391835</v>
      </c>
      <c r="H9">
        <f>103513+19+5541</f>
        <v>109073</v>
      </c>
      <c r="I9" s="2">
        <f t="shared" si="1"/>
        <v>500908</v>
      </c>
      <c r="J9">
        <v>36365</v>
      </c>
      <c r="K9">
        <v>1790</v>
      </c>
      <c r="L9">
        <v>15533</v>
      </c>
      <c r="M9" s="2">
        <f t="shared" si="2"/>
        <v>17323</v>
      </c>
      <c r="N9">
        <v>40840</v>
      </c>
      <c r="O9">
        <v>31067</v>
      </c>
      <c r="P9">
        <v>415</v>
      </c>
      <c r="Q9" s="2">
        <f t="shared" si="3"/>
        <v>31482</v>
      </c>
      <c r="R9">
        <v>1426836</v>
      </c>
      <c r="S9">
        <v>499543</v>
      </c>
      <c r="T9">
        <v>177480</v>
      </c>
    </row>
    <row r="10" spans="1:20" x14ac:dyDescent="0.35">
      <c r="A10">
        <v>2005</v>
      </c>
      <c r="B10">
        <v>66418</v>
      </c>
      <c r="C10">
        <v>50377</v>
      </c>
      <c r="D10">
        <v>295</v>
      </c>
      <c r="E10" s="2">
        <f t="shared" si="0"/>
        <v>50672</v>
      </c>
      <c r="F10">
        <f>894430+18169+32629</f>
        <v>945228</v>
      </c>
      <c r="G10">
        <f>379500+9020+15458</f>
        <v>403978</v>
      </c>
      <c r="H10">
        <f>96202+30+5796</f>
        <v>102028</v>
      </c>
      <c r="I10" s="2">
        <f t="shared" si="1"/>
        <v>506006</v>
      </c>
      <c r="J10">
        <v>35571</v>
      </c>
      <c r="K10">
        <v>1665</v>
      </c>
      <c r="L10">
        <v>15926</v>
      </c>
      <c r="M10" s="2">
        <f t="shared" si="2"/>
        <v>17591</v>
      </c>
      <c r="N10">
        <v>30983</v>
      </c>
      <c r="O10">
        <v>21372</v>
      </c>
      <c r="P10">
        <v>241</v>
      </c>
      <c r="Q10" s="2">
        <f t="shared" si="3"/>
        <v>21613</v>
      </c>
      <c r="R10">
        <v>1389394</v>
      </c>
      <c r="S10">
        <v>492728</v>
      </c>
      <c r="T10">
        <v>180029</v>
      </c>
    </row>
    <row r="11" spans="1:20" x14ac:dyDescent="0.35">
      <c r="A11">
        <v>2006</v>
      </c>
      <c r="B11">
        <v>64319</v>
      </c>
      <c r="C11">
        <v>48583</v>
      </c>
      <c r="D11">
        <v>269</v>
      </c>
      <c r="E11" s="2">
        <f t="shared" si="0"/>
        <v>48852</v>
      </c>
      <c r="F11">
        <f>897011+20363+34935</f>
        <v>952309</v>
      </c>
      <c r="G11">
        <f>390153+11183+18687</f>
        <v>420023</v>
      </c>
      <c r="H11">
        <f>104327+32+5050</f>
        <v>109409</v>
      </c>
      <c r="I11" s="2">
        <f t="shared" si="1"/>
        <v>529432</v>
      </c>
      <c r="J11">
        <v>33453</v>
      </c>
      <c r="K11">
        <v>1965</v>
      </c>
      <c r="L11">
        <v>14424</v>
      </c>
      <c r="M11" s="2">
        <f t="shared" si="2"/>
        <v>16389</v>
      </c>
      <c r="N11">
        <v>29086</v>
      </c>
      <c r="O11">
        <v>19755</v>
      </c>
      <c r="P11">
        <v>242</v>
      </c>
      <c r="Q11" s="2">
        <f t="shared" si="3"/>
        <v>19997</v>
      </c>
      <c r="R11">
        <v>1384968</v>
      </c>
      <c r="S11">
        <v>505402</v>
      </c>
      <c r="T11">
        <v>180416</v>
      </c>
    </row>
    <row r="16" spans="1:20" x14ac:dyDescent="0.35">
      <c r="A16" t="s">
        <v>155</v>
      </c>
    </row>
    <row r="17" spans="1:20" x14ac:dyDescent="0.35">
      <c r="A17" t="s">
        <v>159</v>
      </c>
    </row>
    <row r="20" spans="1:20" x14ac:dyDescent="0.35">
      <c r="B20" s="17"/>
      <c r="C20" s="17"/>
      <c r="D20" s="17"/>
      <c r="E20" s="17"/>
      <c r="F20" s="17"/>
      <c r="G20" s="17"/>
      <c r="H20" s="17"/>
      <c r="I20" s="17"/>
      <c r="J20" s="17"/>
      <c r="K20" s="17"/>
      <c r="L20" s="17"/>
      <c r="M20" s="17"/>
      <c r="N20" s="17"/>
      <c r="O20" s="17"/>
      <c r="P20" s="17"/>
      <c r="Q20" s="17"/>
      <c r="R20" s="17"/>
      <c r="S20" s="17"/>
      <c r="T20" s="17"/>
    </row>
    <row r="21" spans="1:20" x14ac:dyDescent="0.35">
      <c r="B21" s="17"/>
      <c r="C21" s="78" t="s">
        <v>160</v>
      </c>
      <c r="D21" s="78"/>
      <c r="E21" s="78"/>
      <c r="F21" s="78"/>
      <c r="G21" s="78"/>
      <c r="H21" s="78"/>
      <c r="I21" s="78"/>
      <c r="J21" s="78"/>
      <c r="K21" s="17"/>
      <c r="L21" s="78" t="s">
        <v>162</v>
      </c>
      <c r="M21" s="78"/>
      <c r="N21" s="78"/>
      <c r="O21" s="78"/>
      <c r="P21" s="78"/>
      <c r="Q21" s="78"/>
      <c r="R21" s="78"/>
      <c r="S21" s="78"/>
      <c r="T21" s="17"/>
    </row>
    <row r="22" spans="1:20" x14ac:dyDescent="0.35">
      <c r="B22" s="17"/>
      <c r="C22" s="78" t="s">
        <v>161</v>
      </c>
      <c r="D22" s="76"/>
      <c r="E22" s="76"/>
      <c r="F22" s="76"/>
      <c r="G22" s="76"/>
      <c r="H22" s="76"/>
      <c r="I22" s="76"/>
      <c r="J22" s="76"/>
      <c r="K22" s="17"/>
      <c r="L22" s="78" t="s">
        <v>163</v>
      </c>
      <c r="M22" s="76"/>
      <c r="N22" s="76"/>
      <c r="O22" s="76"/>
      <c r="P22" s="76"/>
      <c r="Q22" s="76"/>
      <c r="R22" s="76"/>
      <c r="S22" s="76"/>
      <c r="T22" s="17"/>
    </row>
    <row r="23" spans="1:20" x14ac:dyDescent="0.35">
      <c r="B23" s="17"/>
      <c r="C23" s="17"/>
      <c r="D23" s="17"/>
      <c r="E23" s="17"/>
      <c r="F23" s="17"/>
      <c r="G23" s="17"/>
      <c r="H23" s="17"/>
      <c r="I23" s="17"/>
      <c r="J23" s="17"/>
      <c r="K23" s="17"/>
      <c r="L23" s="17"/>
      <c r="M23" s="17"/>
      <c r="N23" s="17"/>
      <c r="O23" s="17"/>
      <c r="P23" s="17"/>
      <c r="Q23" s="17"/>
      <c r="R23" s="17"/>
      <c r="S23" s="17"/>
      <c r="T23" s="17"/>
    </row>
    <row r="24" spans="1:20" x14ac:dyDescent="0.35">
      <c r="B24" s="17"/>
      <c r="C24" s="17"/>
      <c r="D24" s="17"/>
      <c r="E24" s="17"/>
      <c r="F24" s="17"/>
      <c r="G24" s="17"/>
      <c r="H24" s="17"/>
      <c r="I24" s="17"/>
      <c r="J24" s="17"/>
      <c r="K24" s="17"/>
      <c r="L24" s="17"/>
      <c r="M24" s="17"/>
      <c r="N24" s="17"/>
      <c r="O24" s="17"/>
      <c r="P24" s="17"/>
      <c r="Q24" s="17"/>
      <c r="R24" s="17"/>
      <c r="S24" s="17"/>
      <c r="T24" s="17"/>
    </row>
    <row r="25" spans="1:20" x14ac:dyDescent="0.35">
      <c r="B25" s="17"/>
      <c r="C25" s="17"/>
      <c r="D25" s="17"/>
      <c r="E25" s="17"/>
      <c r="F25" s="17"/>
      <c r="G25" s="17"/>
      <c r="H25" s="17"/>
      <c r="I25" s="17"/>
      <c r="J25" s="17"/>
      <c r="K25" s="17"/>
      <c r="L25" s="17"/>
      <c r="M25" s="17"/>
      <c r="N25" s="17"/>
      <c r="O25" s="17"/>
      <c r="P25" s="17"/>
      <c r="Q25" s="17"/>
      <c r="R25" s="17"/>
      <c r="S25" s="17"/>
      <c r="T25" s="17"/>
    </row>
    <row r="26" spans="1:20" x14ac:dyDescent="0.35">
      <c r="B26" s="17"/>
      <c r="C26" s="17"/>
      <c r="D26" s="17"/>
      <c r="E26" s="17"/>
      <c r="F26" s="17"/>
      <c r="G26" s="17"/>
      <c r="H26" s="17"/>
      <c r="I26" s="17"/>
      <c r="J26" s="17"/>
      <c r="K26" s="17"/>
      <c r="L26" s="17"/>
      <c r="M26" s="17"/>
      <c r="N26" s="17"/>
      <c r="O26" s="17"/>
      <c r="P26" s="17"/>
      <c r="Q26" s="17"/>
      <c r="R26" s="17"/>
      <c r="S26" s="17"/>
      <c r="T26" s="17"/>
    </row>
    <row r="27" spans="1:20" x14ac:dyDescent="0.35">
      <c r="B27" s="17"/>
      <c r="C27" s="17"/>
      <c r="D27" s="17"/>
      <c r="E27" s="17"/>
      <c r="F27" s="17"/>
      <c r="G27" s="17"/>
      <c r="H27" s="17"/>
      <c r="I27" s="17"/>
      <c r="J27" s="17"/>
      <c r="K27" s="17"/>
      <c r="L27" s="17"/>
      <c r="M27" s="17"/>
      <c r="N27" s="17"/>
      <c r="O27" s="17"/>
      <c r="P27" s="17"/>
      <c r="Q27" s="17"/>
      <c r="R27" s="17"/>
      <c r="S27" s="17"/>
      <c r="T27" s="17"/>
    </row>
    <row r="28" spans="1:20" x14ac:dyDescent="0.35">
      <c r="B28" s="17"/>
      <c r="C28" s="17"/>
      <c r="D28" s="17"/>
      <c r="E28" s="17"/>
      <c r="F28" s="17"/>
      <c r="G28" s="17"/>
      <c r="H28" s="17"/>
      <c r="I28" s="17"/>
      <c r="J28" s="17"/>
      <c r="K28" s="17"/>
      <c r="L28" s="17"/>
      <c r="M28" s="17"/>
      <c r="N28" s="17"/>
      <c r="O28" s="17"/>
      <c r="P28" s="17"/>
      <c r="Q28" s="17"/>
      <c r="R28" s="17"/>
      <c r="S28" s="17"/>
      <c r="T28" s="17"/>
    </row>
    <row r="29" spans="1:20" x14ac:dyDescent="0.35">
      <c r="B29" s="17"/>
      <c r="C29" s="17"/>
      <c r="D29" s="17"/>
      <c r="E29" s="17"/>
      <c r="F29" s="17"/>
      <c r="G29" s="17"/>
      <c r="H29" s="17"/>
      <c r="I29" s="17"/>
      <c r="J29" s="17"/>
      <c r="K29" s="17"/>
      <c r="L29" s="17"/>
      <c r="M29" s="17"/>
      <c r="N29" s="17"/>
      <c r="O29" s="17"/>
      <c r="P29" s="17"/>
      <c r="Q29" s="17"/>
      <c r="R29" s="17"/>
      <c r="S29" s="17"/>
      <c r="T29" s="17"/>
    </row>
    <row r="30" spans="1:20" x14ac:dyDescent="0.35">
      <c r="B30" s="17"/>
      <c r="C30" s="17"/>
      <c r="D30" s="17"/>
      <c r="E30" s="17"/>
      <c r="F30" s="17"/>
      <c r="G30" s="17"/>
      <c r="H30" s="17"/>
      <c r="I30" s="17"/>
      <c r="J30" s="17"/>
      <c r="K30" s="17"/>
      <c r="L30" s="17"/>
      <c r="M30" s="17"/>
      <c r="N30" s="17"/>
      <c r="O30" s="17"/>
      <c r="P30" s="17"/>
      <c r="Q30" s="17"/>
      <c r="R30" s="17"/>
      <c r="S30" s="17"/>
      <c r="T30" s="17"/>
    </row>
    <row r="31" spans="1:20" x14ac:dyDescent="0.35">
      <c r="B31" s="17"/>
      <c r="C31" s="17"/>
      <c r="D31" s="17"/>
      <c r="E31" s="17"/>
      <c r="F31" s="17"/>
      <c r="G31" s="17"/>
      <c r="H31" s="17"/>
      <c r="I31" s="17"/>
      <c r="J31" s="17"/>
      <c r="K31" s="17"/>
      <c r="L31" s="17"/>
      <c r="M31" s="17"/>
      <c r="N31" s="17"/>
      <c r="O31" s="17"/>
      <c r="P31" s="17"/>
      <c r="Q31" s="17"/>
      <c r="R31" s="17"/>
      <c r="S31" s="17"/>
      <c r="T31" s="17"/>
    </row>
    <row r="32" spans="1:20" x14ac:dyDescent="0.35">
      <c r="B32" s="17"/>
      <c r="C32" s="17"/>
      <c r="D32" s="17"/>
      <c r="E32" s="17"/>
      <c r="F32" s="17"/>
      <c r="G32" s="17"/>
      <c r="H32" s="17"/>
      <c r="I32" s="17"/>
      <c r="J32" s="17"/>
      <c r="K32" s="17"/>
      <c r="L32" s="17"/>
      <c r="M32" s="17"/>
      <c r="N32" s="17"/>
      <c r="O32" s="17"/>
      <c r="P32" s="17"/>
      <c r="Q32" s="17"/>
      <c r="R32" s="17"/>
      <c r="S32" s="17"/>
      <c r="T32" s="17"/>
    </row>
    <row r="33" spans="2:20" x14ac:dyDescent="0.35">
      <c r="B33" s="17"/>
      <c r="C33" s="17"/>
      <c r="D33" s="17"/>
      <c r="E33" s="17"/>
      <c r="F33" s="17"/>
      <c r="G33" s="17"/>
      <c r="H33" s="17"/>
      <c r="I33" s="17"/>
      <c r="J33" s="17"/>
      <c r="K33" s="17"/>
      <c r="L33" s="17"/>
      <c r="M33" s="17"/>
      <c r="N33" s="17"/>
      <c r="O33" s="17"/>
      <c r="P33" s="17"/>
      <c r="Q33" s="17"/>
      <c r="R33" s="17"/>
      <c r="S33" s="17"/>
      <c r="T33" s="17"/>
    </row>
    <row r="34" spans="2:20" x14ac:dyDescent="0.35">
      <c r="B34" s="17"/>
      <c r="C34" s="17"/>
      <c r="D34" s="17"/>
      <c r="E34" s="17"/>
      <c r="F34" s="17"/>
      <c r="G34" s="17"/>
      <c r="H34" s="17"/>
      <c r="I34" s="17"/>
      <c r="J34" s="17"/>
      <c r="K34" s="17"/>
      <c r="L34" s="17"/>
      <c r="M34" s="17"/>
      <c r="N34" s="17"/>
      <c r="O34" s="17"/>
      <c r="P34" s="17"/>
      <c r="Q34" s="17"/>
      <c r="R34" s="17"/>
      <c r="S34" s="17"/>
      <c r="T34" s="17"/>
    </row>
    <row r="35" spans="2:20" x14ac:dyDescent="0.35">
      <c r="B35" s="17"/>
      <c r="C35" s="17"/>
      <c r="D35" s="17"/>
      <c r="E35" s="17"/>
      <c r="F35" s="17"/>
      <c r="G35" s="17"/>
      <c r="H35" s="17"/>
      <c r="I35" s="17"/>
      <c r="J35" s="17"/>
      <c r="K35" s="17"/>
      <c r="L35" s="17"/>
      <c r="M35" s="17"/>
      <c r="N35" s="17"/>
      <c r="O35" s="17"/>
      <c r="P35" s="17"/>
      <c r="Q35" s="17"/>
      <c r="R35" s="17"/>
      <c r="S35" s="17"/>
      <c r="T35" s="17"/>
    </row>
    <row r="36" spans="2:20" x14ac:dyDescent="0.35">
      <c r="B36" s="17"/>
      <c r="C36" s="76"/>
      <c r="D36" s="76"/>
      <c r="E36" s="76"/>
      <c r="F36" s="76"/>
      <c r="G36" s="76"/>
      <c r="H36" s="76"/>
      <c r="I36" s="76"/>
      <c r="J36" s="76"/>
      <c r="K36" s="17"/>
      <c r="L36" s="77"/>
      <c r="M36" s="77"/>
      <c r="N36" s="77"/>
      <c r="O36" s="77"/>
      <c r="P36" s="77"/>
      <c r="Q36" s="77"/>
      <c r="R36" s="77"/>
      <c r="S36" s="77"/>
      <c r="T36" s="17"/>
    </row>
    <row r="37" spans="2:20" x14ac:dyDescent="0.35">
      <c r="B37" s="17"/>
      <c r="C37" s="17"/>
      <c r="D37" s="17"/>
      <c r="E37" s="17"/>
      <c r="F37" s="17"/>
      <c r="G37" s="17"/>
      <c r="H37" s="17"/>
      <c r="I37" s="17"/>
      <c r="J37" s="17"/>
      <c r="K37" s="17"/>
      <c r="L37" s="17"/>
      <c r="M37" s="17"/>
      <c r="N37" s="17"/>
      <c r="O37" s="17"/>
      <c r="P37" s="17"/>
      <c r="Q37" s="17"/>
      <c r="R37" s="17"/>
      <c r="S37" s="17"/>
      <c r="T37" s="17"/>
    </row>
    <row r="38" spans="2:20" x14ac:dyDescent="0.35">
      <c r="B38" s="17"/>
      <c r="C38" s="17"/>
      <c r="D38" s="17"/>
      <c r="E38" s="17"/>
      <c r="F38" s="17"/>
      <c r="G38" s="17"/>
      <c r="H38" s="17"/>
      <c r="I38" s="17"/>
      <c r="J38" s="17"/>
      <c r="K38" s="17"/>
      <c r="L38" s="17"/>
      <c r="M38" s="17"/>
      <c r="N38" s="17"/>
      <c r="O38" s="17"/>
      <c r="P38" s="17"/>
      <c r="Q38" s="17"/>
      <c r="R38" s="17"/>
      <c r="S38" s="17"/>
      <c r="T38" s="17"/>
    </row>
    <row r="39" spans="2:20" x14ac:dyDescent="0.35">
      <c r="B39" s="17"/>
      <c r="C39" s="17"/>
      <c r="D39" s="17"/>
      <c r="E39" s="17"/>
      <c r="F39" s="17"/>
      <c r="G39" s="17"/>
      <c r="H39" s="17"/>
      <c r="I39" s="17"/>
      <c r="J39" s="17"/>
      <c r="K39" s="17"/>
      <c r="L39" s="17"/>
      <c r="M39" s="17"/>
      <c r="N39" s="17"/>
      <c r="O39" s="17"/>
      <c r="P39" s="17"/>
      <c r="Q39" s="17"/>
      <c r="R39" s="17"/>
      <c r="S39" s="17"/>
      <c r="T39" s="17"/>
    </row>
  </sheetData>
  <mergeCells count="6">
    <mergeCell ref="C36:J36"/>
    <mergeCell ref="L36:S36"/>
    <mergeCell ref="C22:J22"/>
    <mergeCell ref="C21:J21"/>
    <mergeCell ref="L21:S21"/>
    <mergeCell ref="L22:S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sqref="A1:H1"/>
    </sheetView>
  </sheetViews>
  <sheetFormatPr defaultRowHeight="14.5" x14ac:dyDescent="0.35"/>
  <sheetData>
    <row r="1" spans="1:9" x14ac:dyDescent="0.35">
      <c r="A1" s="78" t="s">
        <v>167</v>
      </c>
      <c r="B1" s="78"/>
      <c r="C1" s="78"/>
      <c r="D1" s="78"/>
      <c r="E1" s="78"/>
      <c r="F1" s="78"/>
      <c r="G1" s="78"/>
      <c r="H1" s="78"/>
      <c r="I1" s="7"/>
    </row>
    <row r="2" spans="1:9" x14ac:dyDescent="0.35">
      <c r="A2" s="78" t="s">
        <v>165</v>
      </c>
      <c r="B2" s="78"/>
      <c r="C2" s="78"/>
      <c r="D2" s="78"/>
      <c r="E2" s="78"/>
      <c r="F2" s="78"/>
      <c r="G2" s="78"/>
      <c r="H2" s="78"/>
      <c r="I2" s="7"/>
    </row>
    <row r="3" spans="1:9" x14ac:dyDescent="0.35">
      <c r="A3" s="17"/>
      <c r="B3" s="17"/>
      <c r="C3" s="17"/>
      <c r="D3" s="17"/>
      <c r="E3" s="17"/>
      <c r="F3" s="17"/>
      <c r="G3" s="17"/>
      <c r="H3" s="17"/>
      <c r="I3" s="7"/>
    </row>
    <row r="4" spans="1:9" x14ac:dyDescent="0.35">
      <c r="A4" s="17"/>
      <c r="B4" s="17"/>
      <c r="C4" s="17"/>
      <c r="D4" s="17"/>
      <c r="E4" s="17"/>
      <c r="F4" s="17"/>
      <c r="G4" s="17"/>
      <c r="H4" s="17"/>
      <c r="I4" s="7"/>
    </row>
    <row r="5" spans="1:9" x14ac:dyDescent="0.35">
      <c r="A5" s="17"/>
      <c r="B5" s="17"/>
      <c r="C5" s="17"/>
      <c r="D5" s="17"/>
      <c r="E5" s="17"/>
      <c r="F5" s="17"/>
      <c r="G5" s="17"/>
      <c r="H5" s="17"/>
      <c r="I5" s="7"/>
    </row>
    <row r="6" spans="1:9" x14ac:dyDescent="0.35">
      <c r="A6" s="17"/>
      <c r="B6" s="17"/>
      <c r="C6" s="17"/>
      <c r="D6" s="17"/>
      <c r="E6" s="17"/>
      <c r="F6" s="17"/>
      <c r="G6" s="17"/>
      <c r="H6" s="17"/>
      <c r="I6" s="7"/>
    </row>
    <row r="7" spans="1:9" x14ac:dyDescent="0.35">
      <c r="A7" s="17"/>
      <c r="B7" s="17"/>
      <c r="C7" s="17"/>
      <c r="D7" s="17"/>
      <c r="E7" s="17"/>
      <c r="F7" s="17"/>
      <c r="G7" s="17"/>
      <c r="H7" s="17"/>
      <c r="I7" s="7"/>
    </row>
    <row r="8" spans="1:9" x14ac:dyDescent="0.35">
      <c r="A8" s="17"/>
      <c r="B8" s="17"/>
      <c r="C8" s="17"/>
      <c r="D8" s="17"/>
      <c r="E8" s="17"/>
      <c r="F8" s="17"/>
      <c r="G8" s="17"/>
      <c r="H8" s="17"/>
      <c r="I8" s="7"/>
    </row>
    <row r="9" spans="1:9" x14ac:dyDescent="0.35">
      <c r="A9" s="17"/>
      <c r="B9" s="17"/>
      <c r="C9" s="17"/>
      <c r="D9" s="17"/>
      <c r="E9" s="17"/>
      <c r="F9" s="17"/>
      <c r="G9" s="17"/>
      <c r="H9" s="17"/>
      <c r="I9" s="7"/>
    </row>
    <row r="10" spans="1:9" x14ac:dyDescent="0.35">
      <c r="A10" s="17"/>
      <c r="B10" s="17"/>
      <c r="C10" s="17"/>
      <c r="D10" s="17"/>
      <c r="E10" s="17"/>
      <c r="F10" s="17"/>
      <c r="G10" s="17"/>
      <c r="H10" s="17"/>
      <c r="I10" s="7"/>
    </row>
    <row r="11" spans="1:9" x14ac:dyDescent="0.35">
      <c r="A11" s="17"/>
      <c r="B11" s="17"/>
      <c r="C11" s="17"/>
      <c r="D11" s="17"/>
      <c r="E11" s="17"/>
      <c r="F11" s="17"/>
      <c r="G11" s="17"/>
      <c r="H11" s="17"/>
      <c r="I11" s="7"/>
    </row>
    <row r="12" spans="1:9" x14ac:dyDescent="0.35">
      <c r="A12" s="17"/>
      <c r="B12" s="17"/>
      <c r="C12" s="17"/>
      <c r="D12" s="17"/>
      <c r="E12" s="17"/>
      <c r="F12" s="17"/>
      <c r="G12" s="17"/>
      <c r="H12" s="17"/>
      <c r="I12" s="7"/>
    </row>
    <row r="13" spans="1:9" x14ac:dyDescent="0.35">
      <c r="A13" s="17"/>
      <c r="B13" s="17"/>
      <c r="C13" s="17"/>
      <c r="D13" s="17"/>
      <c r="E13" s="17"/>
      <c r="F13" s="17"/>
      <c r="G13" s="17"/>
      <c r="H13" s="17"/>
      <c r="I13" s="7"/>
    </row>
    <row r="14" spans="1:9" x14ac:dyDescent="0.35">
      <c r="A14" s="17"/>
      <c r="B14" s="17"/>
      <c r="C14" s="17"/>
      <c r="D14" s="17"/>
      <c r="E14" s="17"/>
      <c r="F14" s="17"/>
      <c r="G14" s="17"/>
      <c r="H14" s="17"/>
      <c r="I14" s="7"/>
    </row>
    <row r="15" spans="1:9" x14ac:dyDescent="0.35">
      <c r="A15" s="17"/>
      <c r="B15" s="17"/>
      <c r="C15" s="17"/>
      <c r="D15" s="17"/>
      <c r="E15" s="17"/>
      <c r="F15" s="17"/>
      <c r="G15" s="17"/>
      <c r="H15" s="17"/>
      <c r="I15" s="7"/>
    </row>
    <row r="16" spans="1:9" x14ac:dyDescent="0.35">
      <c r="A16" s="17"/>
      <c r="B16" s="17"/>
      <c r="C16" s="17"/>
      <c r="D16" s="17"/>
      <c r="E16" s="17"/>
      <c r="F16" s="17"/>
      <c r="G16" s="17"/>
      <c r="H16" s="17"/>
      <c r="I16" s="7"/>
    </row>
    <row r="17" spans="1:9" x14ac:dyDescent="0.35">
      <c r="A17" s="17"/>
      <c r="B17" s="17"/>
      <c r="C17" s="17"/>
      <c r="D17" s="17"/>
      <c r="E17" s="17"/>
      <c r="F17" s="17"/>
      <c r="G17" s="17"/>
      <c r="H17" s="17"/>
      <c r="I17" s="7"/>
    </row>
    <row r="18" spans="1:9" x14ac:dyDescent="0.35">
      <c r="A18" s="77"/>
      <c r="B18" s="77"/>
      <c r="C18" s="77"/>
      <c r="D18" s="77"/>
      <c r="E18" s="77"/>
      <c r="F18" s="77"/>
      <c r="G18" s="77"/>
      <c r="H18" s="77"/>
      <c r="I18" s="7"/>
    </row>
    <row r="19" spans="1:9" x14ac:dyDescent="0.35">
      <c r="A19" s="78" t="s">
        <v>164</v>
      </c>
      <c r="B19" s="78"/>
      <c r="C19" s="78"/>
      <c r="D19" s="78"/>
      <c r="E19" s="78"/>
      <c r="F19" s="78"/>
      <c r="G19" s="78"/>
      <c r="H19" s="78"/>
      <c r="I19" s="7"/>
    </row>
    <row r="20" spans="1:9" x14ac:dyDescent="0.35">
      <c r="A20" s="78" t="s">
        <v>166</v>
      </c>
      <c r="B20" s="78"/>
      <c r="C20" s="78"/>
      <c r="D20" s="78"/>
      <c r="E20" s="78"/>
      <c r="F20" s="78"/>
      <c r="G20" s="78"/>
      <c r="H20" s="78"/>
      <c r="I20" s="7"/>
    </row>
    <row r="21" spans="1:9" x14ac:dyDescent="0.35">
      <c r="A21" s="17"/>
      <c r="B21" s="17"/>
      <c r="C21" s="17"/>
      <c r="D21" s="17"/>
      <c r="E21" s="17"/>
      <c r="F21" s="17"/>
      <c r="G21" s="17"/>
      <c r="H21" s="17"/>
      <c r="I21" s="7"/>
    </row>
    <row r="22" spans="1:9" x14ac:dyDescent="0.35">
      <c r="A22" s="17"/>
      <c r="B22" s="17"/>
      <c r="C22" s="17"/>
      <c r="D22" s="17"/>
      <c r="E22" s="17"/>
      <c r="F22" s="17"/>
      <c r="G22" s="17"/>
      <c r="H22" s="17"/>
      <c r="I22" s="7"/>
    </row>
    <row r="23" spans="1:9" x14ac:dyDescent="0.35">
      <c r="A23" s="17"/>
      <c r="B23" s="17"/>
      <c r="C23" s="17"/>
      <c r="D23" s="17"/>
      <c r="E23" s="17"/>
      <c r="F23" s="17"/>
      <c r="G23" s="17"/>
      <c r="H23" s="17"/>
      <c r="I23" s="7"/>
    </row>
    <row r="24" spans="1:9" x14ac:dyDescent="0.35">
      <c r="A24" s="17"/>
      <c r="B24" s="17"/>
      <c r="C24" s="17"/>
      <c r="D24" s="17"/>
      <c r="E24" s="17"/>
      <c r="F24" s="17"/>
      <c r="G24" s="17"/>
      <c r="H24" s="17"/>
      <c r="I24" s="7"/>
    </row>
    <row r="25" spans="1:9" x14ac:dyDescent="0.35">
      <c r="A25" s="17"/>
      <c r="B25" s="17"/>
      <c r="C25" s="17"/>
      <c r="D25" s="17"/>
      <c r="E25" s="17"/>
      <c r="F25" s="17"/>
      <c r="G25" s="17"/>
      <c r="H25" s="17"/>
      <c r="I25" s="7"/>
    </row>
    <row r="26" spans="1:9" x14ac:dyDescent="0.35">
      <c r="A26" s="17"/>
      <c r="B26" s="17"/>
      <c r="C26" s="17"/>
      <c r="D26" s="17"/>
      <c r="E26" s="17"/>
      <c r="F26" s="17"/>
      <c r="G26" s="17"/>
      <c r="H26" s="17"/>
      <c r="I26" s="7"/>
    </row>
    <row r="27" spans="1:9" x14ac:dyDescent="0.35">
      <c r="A27" s="17"/>
      <c r="B27" s="17"/>
      <c r="C27" s="17"/>
      <c r="D27" s="17"/>
      <c r="E27" s="17"/>
      <c r="F27" s="17"/>
      <c r="G27" s="17"/>
      <c r="H27" s="17"/>
      <c r="I27" s="7"/>
    </row>
    <row r="28" spans="1:9" x14ac:dyDescent="0.35">
      <c r="A28" s="17"/>
      <c r="B28" s="17"/>
      <c r="C28" s="17"/>
      <c r="D28" s="17"/>
      <c r="E28" s="17"/>
      <c r="F28" s="17"/>
      <c r="G28" s="17"/>
      <c r="H28" s="17"/>
      <c r="I28" s="7"/>
    </row>
    <row r="29" spans="1:9" x14ac:dyDescent="0.35">
      <c r="A29" s="17"/>
      <c r="B29" s="17"/>
      <c r="C29" s="17"/>
      <c r="D29" s="17"/>
      <c r="E29" s="17"/>
      <c r="F29" s="17"/>
      <c r="G29" s="17"/>
      <c r="H29" s="17"/>
      <c r="I29" s="7"/>
    </row>
    <row r="30" spans="1:9" x14ac:dyDescent="0.35">
      <c r="A30" s="17"/>
      <c r="B30" s="17"/>
      <c r="C30" s="17"/>
      <c r="D30" s="17"/>
      <c r="E30" s="17"/>
      <c r="F30" s="17"/>
      <c r="G30" s="17"/>
      <c r="H30" s="17"/>
      <c r="I30" s="7"/>
    </row>
    <row r="31" spans="1:9" x14ac:dyDescent="0.35">
      <c r="A31" s="17"/>
      <c r="B31" s="17"/>
      <c r="C31" s="17"/>
      <c r="D31" s="17"/>
      <c r="E31" s="17"/>
      <c r="F31" s="17"/>
      <c r="G31" s="17"/>
      <c r="H31" s="17"/>
      <c r="I31" s="7"/>
    </row>
    <row r="32" spans="1:9" x14ac:dyDescent="0.35">
      <c r="A32" s="17"/>
      <c r="B32" s="17"/>
      <c r="C32" s="17"/>
      <c r="D32" s="17"/>
      <c r="E32" s="17"/>
      <c r="F32" s="17"/>
      <c r="G32" s="17"/>
      <c r="H32" s="17"/>
      <c r="I32" s="7"/>
    </row>
    <row r="33" spans="1:9" x14ac:dyDescent="0.35">
      <c r="A33" s="17"/>
      <c r="B33" s="17"/>
      <c r="C33" s="17"/>
      <c r="D33" s="17"/>
      <c r="E33" s="17"/>
      <c r="F33" s="17"/>
      <c r="G33" s="17"/>
      <c r="H33" s="17"/>
      <c r="I33" s="7"/>
    </row>
    <row r="34" spans="1:9" x14ac:dyDescent="0.35">
      <c r="A34" s="17"/>
      <c r="B34" s="17"/>
      <c r="C34" s="17"/>
      <c r="D34" s="17"/>
      <c r="E34" s="17"/>
      <c r="F34" s="17"/>
      <c r="G34" s="17"/>
      <c r="H34" s="17"/>
      <c r="I34" s="7"/>
    </row>
    <row r="35" spans="1:9" x14ac:dyDescent="0.35">
      <c r="A35" s="17"/>
      <c r="B35" s="17"/>
      <c r="C35" s="17"/>
      <c r="D35" s="17"/>
      <c r="E35" s="17"/>
      <c r="F35" s="17"/>
      <c r="G35" s="17"/>
      <c r="H35" s="17"/>
      <c r="I35" s="7"/>
    </row>
    <row r="36" spans="1:9" x14ac:dyDescent="0.35">
      <c r="A36" s="77"/>
      <c r="B36" s="77"/>
      <c r="C36" s="77"/>
      <c r="D36" s="77"/>
      <c r="E36" s="77"/>
      <c r="F36" s="77"/>
      <c r="G36" s="77"/>
      <c r="H36" s="77"/>
      <c r="I36" s="7"/>
    </row>
    <row r="37" spans="1:9" x14ac:dyDescent="0.35">
      <c r="A37" s="77"/>
      <c r="B37" s="77"/>
      <c r="C37" s="77"/>
      <c r="D37" s="77"/>
      <c r="E37" s="77"/>
      <c r="F37" s="77"/>
      <c r="G37" s="77"/>
      <c r="H37" s="77"/>
      <c r="I37" s="7"/>
    </row>
  </sheetData>
  <mergeCells count="7">
    <mergeCell ref="A18:H18"/>
    <mergeCell ref="A36:H36"/>
    <mergeCell ref="A37:H37"/>
    <mergeCell ref="A1:H1"/>
    <mergeCell ref="A2:H2"/>
    <mergeCell ref="A19:H19"/>
    <mergeCell ref="A20:H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 1 and 2</vt:lpstr>
      <vt:lpstr>Fig 3 and 4</vt:lpstr>
      <vt:lpstr>Table 1</vt:lpstr>
      <vt:lpstr>Table 2</vt:lpstr>
      <vt:lpstr>Dyadic MIDs</vt:lpstr>
      <vt:lpstr>MIDs per Year</vt:lpstr>
      <vt:lpstr>Appendix Table 1</vt:lpstr>
      <vt:lpstr>Appendix Figures 1 and 2</vt:lpstr>
      <vt:lpstr>Appendix Figures 3 and 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pcavey</cp:lastModifiedBy>
  <dcterms:created xsi:type="dcterms:W3CDTF">2014-07-03T12:26:17Z</dcterms:created>
  <dcterms:modified xsi:type="dcterms:W3CDTF">2017-12-19T18:24:45Z</dcterms:modified>
</cp:coreProperties>
</file>